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drawings/drawing4.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drawings/drawing5.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drawings/drawing6.xml" ContentType="application/vnd.openxmlformats-officedocument.drawing+xml"/>
  <Override PartName="/xl/tables/table11.xml" ContentType="application/vnd.openxmlformats-officedocument.spreadsheetml.table+xml"/>
  <Override PartName="/xl/tables/table12.xml" ContentType="application/vnd.openxmlformats-officedocument.spreadsheetml.table+xml"/>
  <Override PartName="/xl/drawings/drawing7.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drawings/drawing8.xml" ContentType="application/vnd.openxmlformats-officedocument.drawing+xml"/>
  <Override PartName="/xl/tables/table15.xml" ContentType="application/vnd.openxmlformats-officedocument.spreadsheetml.table+xml"/>
  <Override PartName="/xl/tables/table16.xml" ContentType="application/vnd.openxmlformats-officedocument.spreadsheetml.table+xml"/>
  <Override PartName="/xl/drawings/drawing9.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drawings/drawing10.xml" ContentType="application/vnd.openxmlformats-officedocument.drawing+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drawings/drawing11.xml" ContentType="application/vnd.openxmlformats-officedocument.drawing+xml"/>
  <Override PartName="/xl/tables/table22.xml" ContentType="application/vnd.openxmlformats-officedocument.spreadsheetml.table+xml"/>
  <Override PartName="/xl/tables/table23.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xr:revisionPtr revIDLastSave="0" documentId="13_ncr:1_{92CC48D0-5E00-4A73-9CEA-9BE21CB7B7C1}" xr6:coauthVersionLast="47" xr6:coauthVersionMax="47" xr10:uidLastSave="{00000000-0000-0000-0000-000000000000}"/>
  <bookViews>
    <workbookView xWindow="-108" yWindow="-108" windowWidth="23256" windowHeight="12576" tabRatio="823" firstSheet="1" activeTab="2" xr2:uid="{00000000-000D-0000-FFFF-FFFF00000000}"/>
  </bookViews>
  <sheets>
    <sheet name="Sheet1 (2)" sheetId="24" state="hidden" r:id="rId1"/>
    <sheet name="Check Register 2022" sheetId="26" r:id="rId2"/>
    <sheet name="Budget 2022" sheetId="27" r:id="rId3"/>
    <sheet name="Check Register 2021" sheetId="23" r:id="rId4"/>
    <sheet name="Group Funds Held" sheetId="25" r:id="rId5"/>
    <sheet name="Budgeting (2021)" sheetId="22" r:id="rId6"/>
    <sheet name="How to use this template" sheetId="3" r:id="rId7"/>
    <sheet name="Check Register 2020" sheetId="21" r:id="rId8"/>
    <sheet name="Budgeting (2020)" sheetId="14" r:id="rId9"/>
    <sheet name="Check Register 2019" sheetId="19" r:id="rId10"/>
    <sheet name="Check Register 2018" sheetId="20" r:id="rId11"/>
    <sheet name="Check Register 2017" sheetId="15" r:id="rId12"/>
    <sheet name="BUDGET 2016-17" sheetId="16" r:id="rId13"/>
    <sheet name="Check Register 2016" sheetId="13" r:id="rId14"/>
    <sheet name="Check Register 2015" sheetId="11" r:id="rId15"/>
    <sheet name="Check Register 2014 " sheetId="8" r:id="rId16"/>
    <sheet name="Check Register 2012-13" sheetId="1" r:id="rId17"/>
    <sheet name="Group Totals" sheetId="5" state="hidden" r:id="rId18"/>
    <sheet name="Sample" sheetId="4" state="hidden" r:id="rId19"/>
  </sheets>
  <definedNames>
    <definedName name="Category" localSheetId="14">'Check Register 2015'!$B$7:$B$53</definedName>
    <definedName name="Category" localSheetId="13">'Check Register 2016'!$B$16:$B$59</definedName>
    <definedName name="Category" localSheetId="11">'Check Register 2017'!$B$18:$B$66</definedName>
    <definedName name="Category" localSheetId="10">'Check Register 2018'!$B$18:$B$65</definedName>
    <definedName name="Category" localSheetId="9">'Check Register 2019'!$B$18:$B$65</definedName>
    <definedName name="Category" localSheetId="7">'Check Register 2020'!$B$18:$B$69</definedName>
    <definedName name="Category" localSheetId="3">'Check Register 2021'!$B$17:$B$75</definedName>
    <definedName name="Category" localSheetId="1">'Check Register 2022'!$B$17:$B$63</definedName>
    <definedName name="Category">'Check Register 2014 '!$B$6:$B$52</definedName>
    <definedName name="CategoryLookup" localSheetId="5">CategoryTable[Category]</definedName>
    <definedName name="CategoryLookup" localSheetId="15">CategoryTable8[Category]</definedName>
    <definedName name="CategoryLookup" localSheetId="14">CategoryTable812[Category]</definedName>
    <definedName name="CategoryLookup" localSheetId="13">CategoryTable81210[Category]</definedName>
    <definedName name="CategoryLookup" localSheetId="11">CategoryTable8121014[Category]</definedName>
    <definedName name="CategoryLookup" localSheetId="10">CategoryTable81210141620[Category]</definedName>
    <definedName name="CategoryLookup" localSheetId="9">CategoryTable81210141618[Category]</definedName>
    <definedName name="CategoryLookup" localSheetId="7">CategoryTable8121014161816[Category]</definedName>
    <definedName name="CategoryLookup" localSheetId="3">CategoryTable812101416181622[Category]</definedName>
    <definedName name="CategoryLookup" localSheetId="1">CategoryTable81210141618162224[Category]</definedName>
    <definedName name="CategoryLookup" localSheetId="18">CategoryTable1[Category]</definedName>
    <definedName name="CategoryLookup">CategoryTable[Category]</definedName>
    <definedName name="ChtData" localSheetId="15">OFFSET('Check Register 2014 '!$C$6,1,0,COUNTA('Check Register 2014 '!$C:$C)-2)</definedName>
    <definedName name="ChtData" localSheetId="14">OFFSET('Check Register 2015'!$C$7,1,0,COUNTA('Check Register 2015'!$C:$C)-2)</definedName>
    <definedName name="ChtData" localSheetId="13">OFFSET('Check Register 2016'!$C$16,1,0,COUNTA('Check Register 2016'!$C:$C)-2)</definedName>
    <definedName name="ChtData" localSheetId="11">OFFSET('Check Register 2017'!$C$18,1,0,COUNTA('Check Register 2017'!$C:$C)-2)</definedName>
    <definedName name="ChtData" localSheetId="10">OFFSET('Check Register 2018'!$C$18,1,0,COUNTA('Check Register 2018'!$C:$C)-2)</definedName>
    <definedName name="ChtData" localSheetId="9">OFFSET('Check Register 2019'!$C$18,1,0,COUNTA('Check Register 2019'!$C:$C)-2)</definedName>
    <definedName name="ChtData" localSheetId="7">OFFSET('Check Register 2020'!$C$18,1,0,COUNTA('Check Register 2020'!$C:$C)-2)</definedName>
    <definedName name="ChtData" localSheetId="3">OFFSET('Check Register 2021'!$C$17,1,0,COUNTA('Check Register 2021'!$C:$C)-2)</definedName>
    <definedName name="ChtData" localSheetId="1">OFFSET('Check Register 2022'!$C$17,1,0,COUNTA('Check Register 2022'!$C:$C)-2)</definedName>
    <definedName name="ChtData" localSheetId="18">OFFSET(Sample!$C$17,1,0,COUNTA(Sample!$C:$C)-2)</definedName>
    <definedName name="ChtData">OFFSET('Check Register 2012-13'!$C$16,1,0,COUNTA('Check Register 2012-13'!$C:$C)-2)</definedName>
    <definedName name="ChtLabels" localSheetId="15">OFFSET('Check Register 2014 '!$B$6,1,0,COUNTA('Check Register 2014 '!$B:$B)-2)</definedName>
    <definedName name="ChtLabels" localSheetId="14">OFFSET('Check Register 2015'!$B$7,1,0,COUNTA('Check Register 2015'!$B:$B)-2)</definedName>
    <definedName name="ChtLabels" localSheetId="13">OFFSET('Check Register 2016'!$B$16,1,0,COUNTA('Check Register 2016'!$B:$B)-2)</definedName>
    <definedName name="ChtLabels" localSheetId="11">OFFSET('Check Register 2017'!$B$18,1,0,COUNTA('Check Register 2017'!$B:$B)-2)</definedName>
    <definedName name="ChtLabels" localSheetId="10">OFFSET('Check Register 2018'!$B$18,1,0,COUNTA('Check Register 2018'!$B:$B)-2)</definedName>
    <definedName name="ChtLabels" localSheetId="9">OFFSET('Check Register 2019'!$B$18,1,0,COUNTA('Check Register 2019'!$B:$B)-2)</definedName>
    <definedName name="ChtLabels" localSheetId="7">OFFSET('Check Register 2020'!$B$18,1,0,COUNTA('Check Register 2020'!$B:$B)-2)</definedName>
    <definedName name="ChtLabels" localSheetId="3">OFFSET('Check Register 2021'!$B$17,1,0,COUNTA('Check Register 2021'!$B:$B)-2)</definedName>
    <definedName name="ChtLabels" localSheetId="1">OFFSET('Check Register 2022'!$B$17,1,0,COUNTA('Check Register 2022'!$B:$B)-2)</definedName>
    <definedName name="ChtLabels" localSheetId="18">OFFSET(Sample!$B$17,1,0,COUNTA(Sample!$B:$B)-2)</definedName>
    <definedName name="ChtLabels">OFFSET('Check Register 2012-13'!$B$16,1,0,COUNTA('Check Register 2012-13'!$B:$B)-2)</definedName>
    <definedName name="_xlnm.Print_Area" localSheetId="8">'Budgeting (2020)'!$A$1:$J$60</definedName>
    <definedName name="_xlnm.Print_Area" localSheetId="5">'Budgeting (2021)'!$A$1:$L$60</definedName>
    <definedName name="_xlnm.Print_Area" localSheetId="15">'Check Register 2014 '!$G$1:$Q$158</definedName>
    <definedName name="_xlnm.Print_Area" localSheetId="14">'Check Register 2015'!$B$3:$E$54</definedName>
    <definedName name="_xlnm.Print_Area" localSheetId="13">'Check Register 2016'!$H$1:$R$177</definedName>
    <definedName name="_xlnm.Print_Area" localSheetId="11">'Check Register 2017'!$G$1:$Q$204</definedName>
    <definedName name="_xlnm.Print_Area" localSheetId="10">'Check Register 2018'!$B$14:$E$69</definedName>
    <definedName name="_xlnm.Print_Area" localSheetId="9">'Check Register 2019'!$B$14:$F$73</definedName>
    <definedName name="_xlnm.Print_Area" localSheetId="7">'Check Register 2020'!$B$14:$F$79</definedName>
    <definedName name="_xlnm.Print_Area" localSheetId="3">'Check Register 2021'!$B$14:$F$79</definedName>
    <definedName name="_xlnm.Print_Area" localSheetId="1">'Check Register 2022'!$B$14:$F$71</definedName>
    <definedName name="_xlnm.Print_Titles" localSheetId="15">'Check Register 2014 '!$1:$2</definedName>
    <definedName name="_xlnm.Print_Titles" localSheetId="14">'Check Register 2015'!$1:$2</definedName>
    <definedName name="_xlnm.Print_Titles" localSheetId="13">'Check Register 2016'!$2:$2</definedName>
    <definedName name="_xlnm.Print_Titles" localSheetId="11">'Check Register 2017'!$1:$2</definedName>
    <definedName name="_xlnm.Print_Titles" localSheetId="10">'Check Register 2018'!$1:$2</definedName>
    <definedName name="_xlnm.Print_Titles" localSheetId="9">'Check Register 2019'!$1:$2</definedName>
    <definedName name="_xlnm.Print_Titles" localSheetId="7">'Check Register 2020'!$1:$2</definedName>
    <definedName name="_xlnm.Print_Titles" localSheetId="3">'Check Register 2021'!$1:$2</definedName>
    <definedName name="_xlnm.Print_Titles" localSheetId="1">'Check Register 2022'!$1:$2</definedName>
    <definedName name="Transaction" localSheetId="5">MyTransactions[#All]</definedName>
    <definedName name="Transaction" localSheetId="15">CkReg13_14[#All]</definedName>
    <definedName name="Transaction" localSheetId="14">Ckreg14_15[#All]</definedName>
    <definedName name="Transaction" localSheetId="13">CkReg15_16[#All]</definedName>
    <definedName name="Transaction" localSheetId="11">CkReg16_18[#All]</definedName>
    <definedName name="Transaction" localSheetId="10">CkReg16_181519[#All]</definedName>
    <definedName name="Transaction" localSheetId="9">CkReg16_181517[#All]</definedName>
    <definedName name="Transaction" localSheetId="7">CkReg16_18151715[#All]</definedName>
    <definedName name="Transaction" localSheetId="3">CkReg16_1815171521[#All]</definedName>
    <definedName name="Transaction" localSheetId="1">CkReg2022[#All]</definedName>
    <definedName name="Transaction">MyTransactions[#All]</definedName>
    <definedName name="Transaction3" localSheetId="18">MyTransactions1[#All]</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D79" i="27" l="1"/>
  <c r="C79" i="27"/>
  <c r="B79" i="27"/>
  <c r="B81" i="27" s="1"/>
  <c r="D62" i="27"/>
  <c r="D81" i="27" s="1"/>
  <c r="C62" i="27"/>
  <c r="C81" i="27" s="1"/>
  <c r="B62" i="27"/>
  <c r="C54" i="27"/>
  <c r="C56" i="27" s="1"/>
  <c r="B54" i="27"/>
  <c r="G53" i="27"/>
  <c r="G52" i="27"/>
  <c r="G51" i="27"/>
  <c r="G50" i="27"/>
  <c r="G49" i="27"/>
  <c r="G48" i="27"/>
  <c r="G47" i="27"/>
  <c r="G46" i="27"/>
  <c r="G45" i="27"/>
  <c r="G44" i="27"/>
  <c r="G43" i="27"/>
  <c r="G42" i="27"/>
  <c r="G41" i="27"/>
  <c r="G40" i="27"/>
  <c r="G39" i="27"/>
  <c r="G38" i="27"/>
  <c r="G54" i="27" s="1"/>
  <c r="H37" i="27"/>
  <c r="D36" i="27"/>
  <c r="D54" i="27" s="1"/>
  <c r="F35" i="27"/>
  <c r="F34" i="27"/>
  <c r="F33" i="27"/>
  <c r="F32" i="27"/>
  <c r="F31" i="27"/>
  <c r="F30" i="27"/>
  <c r="F29" i="27"/>
  <c r="F28" i="27"/>
  <c r="F27" i="27"/>
  <c r="F26" i="27"/>
  <c r="F25" i="27"/>
  <c r="F24" i="27"/>
  <c r="F23" i="27"/>
  <c r="F22" i="27"/>
  <c r="F21" i="27"/>
  <c r="F20" i="27"/>
  <c r="F19" i="27"/>
  <c r="F18" i="27"/>
  <c r="F17" i="27"/>
  <c r="F16" i="27"/>
  <c r="F15" i="27"/>
  <c r="F54" i="27" s="1"/>
  <c r="H13" i="27"/>
  <c r="G13" i="27"/>
  <c r="F13" i="27"/>
  <c r="D13" i="27"/>
  <c r="C13" i="27"/>
  <c r="B13" i="27"/>
  <c r="B56" i="27" s="1"/>
  <c r="G12" i="27"/>
  <c r="G11" i="27"/>
  <c r="F10" i="27"/>
  <c r="F9" i="27"/>
  <c r="C7" i="27"/>
  <c r="B7" i="27"/>
  <c r="D3" i="27"/>
  <c r="D7" i="27" s="1"/>
  <c r="C67" i="26"/>
  <c r="F67" i="26"/>
  <c r="E66" i="26"/>
  <c r="E67" i="26"/>
  <c r="D69" i="26"/>
  <c r="D65" i="26"/>
  <c r="E65" i="26"/>
  <c r="D56" i="27" l="1"/>
  <c r="G56" i="27"/>
  <c r="F3" i="27"/>
  <c r="F7" i="27" s="1"/>
  <c r="F56" i="27" s="1"/>
  <c r="H36" i="27"/>
  <c r="H54" i="27" s="1"/>
  <c r="H56" i="27" s="1"/>
  <c r="N252" i="26" l="1"/>
  <c r="C63" i="26"/>
  <c r="F63" i="26" s="1"/>
  <c r="C62" i="26"/>
  <c r="F62" i="26" s="1"/>
  <c r="C61" i="26"/>
  <c r="F61" i="26" s="1"/>
  <c r="C60" i="26"/>
  <c r="F60" i="26" s="1"/>
  <c r="C59" i="26"/>
  <c r="F59" i="26" s="1"/>
  <c r="C58" i="26"/>
  <c r="F58" i="26" s="1"/>
  <c r="C57" i="26"/>
  <c r="F57" i="26" s="1"/>
  <c r="C56" i="26"/>
  <c r="F56" i="26" s="1"/>
  <c r="C55" i="26"/>
  <c r="F55" i="26" s="1"/>
  <c r="C54" i="26"/>
  <c r="F54" i="26" s="1"/>
  <c r="C53" i="26"/>
  <c r="F53" i="26" s="1"/>
  <c r="C52" i="26"/>
  <c r="F52" i="26" s="1"/>
  <c r="C51" i="26"/>
  <c r="F51" i="26" s="1"/>
  <c r="C50" i="26"/>
  <c r="F50" i="26" s="1"/>
  <c r="C49" i="26"/>
  <c r="F49" i="26" s="1"/>
  <c r="C48" i="26"/>
  <c r="F48" i="26" s="1"/>
  <c r="C47" i="26"/>
  <c r="F47" i="26" s="1"/>
  <c r="C46" i="26"/>
  <c r="F46" i="26" s="1"/>
  <c r="C45" i="26"/>
  <c r="F45" i="26" s="1"/>
  <c r="C44" i="26"/>
  <c r="F44" i="26" s="1"/>
  <c r="C43" i="26"/>
  <c r="F43" i="26" s="1"/>
  <c r="C42" i="26"/>
  <c r="F42" i="26" s="1"/>
  <c r="C41" i="26"/>
  <c r="F41" i="26" s="1"/>
  <c r="C40" i="26"/>
  <c r="F40" i="26" s="1"/>
  <c r="C39" i="26"/>
  <c r="F39" i="26" s="1"/>
  <c r="C38" i="26"/>
  <c r="F38" i="26" s="1"/>
  <c r="C37" i="26"/>
  <c r="F37" i="26" s="1"/>
  <c r="C36" i="26"/>
  <c r="F36" i="26" s="1"/>
  <c r="C35" i="26"/>
  <c r="F35" i="26" s="1"/>
  <c r="C34" i="26"/>
  <c r="F34" i="26" s="1"/>
  <c r="C33" i="26"/>
  <c r="F33" i="26" s="1"/>
  <c r="C32" i="26"/>
  <c r="F32" i="26" s="1"/>
  <c r="C31" i="26"/>
  <c r="F31" i="26" s="1"/>
  <c r="C30" i="26"/>
  <c r="F30" i="26" s="1"/>
  <c r="C29" i="26"/>
  <c r="F29" i="26" s="1"/>
  <c r="C28" i="26"/>
  <c r="F28" i="26" s="1"/>
  <c r="C27" i="26"/>
  <c r="F27" i="26" s="1"/>
  <c r="C26" i="26"/>
  <c r="F26" i="26" s="1"/>
  <c r="C25" i="26"/>
  <c r="F25" i="26" s="1"/>
  <c r="C24" i="26"/>
  <c r="F24" i="26" s="1"/>
  <c r="C23" i="26"/>
  <c r="F23" i="26" s="1"/>
  <c r="C22" i="26"/>
  <c r="F22" i="26" s="1"/>
  <c r="C21" i="26"/>
  <c r="F21" i="26" s="1"/>
  <c r="C20" i="26"/>
  <c r="F20" i="26" s="1"/>
  <c r="C19" i="26"/>
  <c r="F19" i="26" s="1"/>
  <c r="C18" i="26"/>
  <c r="F18" i="26" s="1"/>
  <c r="C17" i="26"/>
  <c r="F14" i="26"/>
  <c r="Q11" i="26"/>
  <c r="Q12" i="26" s="1"/>
  <c r="Q13" i="26" s="1"/>
  <c r="Q14" i="26" s="1"/>
  <c r="Q15" i="26" s="1"/>
  <c r="Q16" i="26" s="1"/>
  <c r="Q17" i="26" s="1"/>
  <c r="Q18" i="26" s="1"/>
  <c r="Q19" i="26" s="1"/>
  <c r="Q20" i="26" s="1"/>
  <c r="Q21" i="26" s="1"/>
  <c r="Q22" i="26" s="1"/>
  <c r="Q23" i="26" s="1"/>
  <c r="Q24" i="26" s="1"/>
  <c r="Q25" i="26" s="1"/>
  <c r="Q26" i="26" s="1"/>
  <c r="Q27" i="26" s="1"/>
  <c r="Q28" i="26" s="1"/>
  <c r="Q29" i="26" s="1"/>
  <c r="Q30" i="26" s="1"/>
  <c r="Q31" i="26" s="1"/>
  <c r="Q32" i="26" s="1"/>
  <c r="Q33" i="26" s="1"/>
  <c r="Q34" i="26" s="1"/>
  <c r="Q35" i="26" s="1"/>
  <c r="Q36" i="26" s="1"/>
  <c r="Q37" i="26" s="1"/>
  <c r="Q38" i="26" s="1"/>
  <c r="Q39" i="26" s="1"/>
  <c r="Q40" i="26" s="1"/>
  <c r="Q41" i="26" s="1"/>
  <c r="Q42" i="26" s="1"/>
  <c r="Q43" i="26" s="1"/>
  <c r="Q44" i="26" s="1"/>
  <c r="Q45" i="26" s="1"/>
  <c r="Q46" i="26" s="1"/>
  <c r="Q47" i="26" s="1"/>
  <c r="Q48" i="26" s="1"/>
  <c r="Q49" i="26" s="1"/>
  <c r="Q50" i="26" s="1"/>
  <c r="Q51" i="26" s="1"/>
  <c r="Q52" i="26" s="1"/>
  <c r="Q53" i="26" s="1"/>
  <c r="Q54" i="26" s="1"/>
  <c r="Q55" i="26" s="1"/>
  <c r="Q56" i="26" s="1"/>
  <c r="Q57" i="26" s="1"/>
  <c r="Q58" i="26" s="1"/>
  <c r="Q59" i="26" s="1"/>
  <c r="Q60" i="26" s="1"/>
  <c r="Q61" i="26" s="1"/>
  <c r="Q62" i="26" s="1"/>
  <c r="Q63" i="26" s="1"/>
  <c r="Q64" i="26" s="1"/>
  <c r="Q65" i="26" s="1"/>
  <c r="Q66" i="26" s="1"/>
  <c r="Q67" i="26" s="1"/>
  <c r="Q68" i="26" s="1"/>
  <c r="Q69" i="26" s="1"/>
  <c r="Q70" i="26" s="1"/>
  <c r="Q71" i="26" s="1"/>
  <c r="Q72" i="26" s="1"/>
  <c r="Q73" i="26" s="1"/>
  <c r="Q74" i="26" s="1"/>
  <c r="Q75" i="26" s="1"/>
  <c r="Q76" i="26" s="1"/>
  <c r="Q77" i="26" s="1"/>
  <c r="Q78" i="26" s="1"/>
  <c r="Q79" i="26" s="1"/>
  <c r="Q80" i="26" s="1"/>
  <c r="Q81" i="26" s="1"/>
  <c r="Q82" i="26" s="1"/>
  <c r="Q83" i="26" s="1"/>
  <c r="Q84" i="26" s="1"/>
  <c r="Q85" i="26" s="1"/>
  <c r="Q86" i="26" s="1"/>
  <c r="Q87" i="26" s="1"/>
  <c r="Q88" i="26" s="1"/>
  <c r="Q89" i="26" s="1"/>
  <c r="Q90" i="26" s="1"/>
  <c r="Q91" i="26" s="1"/>
  <c r="Q92" i="26" s="1"/>
  <c r="Q93" i="26" s="1"/>
  <c r="Q94" i="26" s="1"/>
  <c r="Q95" i="26" s="1"/>
  <c r="Q96" i="26" s="1"/>
  <c r="Q97" i="26" s="1"/>
  <c r="Q98" i="26" s="1"/>
  <c r="Q99" i="26" s="1"/>
  <c r="Q100" i="26" s="1"/>
  <c r="Q101" i="26" s="1"/>
  <c r="Q102" i="26" s="1"/>
  <c r="Q103" i="26" s="1"/>
  <c r="Q104" i="26" s="1"/>
  <c r="Q105" i="26" s="1"/>
  <c r="Q106" i="26" s="1"/>
  <c r="Q107" i="26" s="1"/>
  <c r="Q108" i="26" s="1"/>
  <c r="Q109" i="26" s="1"/>
  <c r="Q110" i="26" s="1"/>
  <c r="Q111" i="26" s="1"/>
  <c r="Q112" i="26" s="1"/>
  <c r="Q113" i="26" s="1"/>
  <c r="Q114" i="26" s="1"/>
  <c r="Q115" i="26" s="1"/>
  <c r="Q116" i="26" s="1"/>
  <c r="Q117" i="26" s="1"/>
  <c r="Q118" i="26" s="1"/>
  <c r="Q119" i="26" s="1"/>
  <c r="Q120" i="26" s="1"/>
  <c r="Q121" i="26" s="1"/>
  <c r="Q122" i="26" s="1"/>
  <c r="Q123" i="26" s="1"/>
  <c r="Q124" i="26" s="1"/>
  <c r="Q125" i="26" s="1"/>
  <c r="Q126" i="26" s="1"/>
  <c r="Q127" i="26" s="1"/>
  <c r="Q128" i="26" s="1"/>
  <c r="Q129" i="26" s="1"/>
  <c r="Q130" i="26" s="1"/>
  <c r="Q131" i="26" s="1"/>
  <c r="Q132" i="26" s="1"/>
  <c r="Q133" i="26" s="1"/>
  <c r="Q134" i="26" s="1"/>
  <c r="Q135" i="26" s="1"/>
  <c r="Q136" i="26" s="1"/>
  <c r="Q137" i="26" s="1"/>
  <c r="Q138" i="26" s="1"/>
  <c r="Q139" i="26" s="1"/>
  <c r="Q140" i="26" s="1"/>
  <c r="Q141" i="26" s="1"/>
  <c r="Q142" i="26" s="1"/>
  <c r="Q143" i="26" s="1"/>
  <c r="Q144" i="26" s="1"/>
  <c r="Q145" i="26" s="1"/>
  <c r="Q146" i="26" s="1"/>
  <c r="Q147" i="26" s="1"/>
  <c r="Q148" i="26" s="1"/>
  <c r="Q149" i="26" s="1"/>
  <c r="Q150" i="26" s="1"/>
  <c r="Q151" i="26" s="1"/>
  <c r="Q152" i="26" s="1"/>
  <c r="Q153" i="26" s="1"/>
  <c r="Q154" i="26" s="1"/>
  <c r="Q155" i="26" s="1"/>
  <c r="Q156" i="26" s="1"/>
  <c r="Q157" i="26" s="1"/>
  <c r="Q158" i="26" s="1"/>
  <c r="Q159" i="26" s="1"/>
  <c r="Q160" i="26" s="1"/>
  <c r="Q161" i="26" s="1"/>
  <c r="Q162" i="26" s="1"/>
  <c r="Q163" i="26" s="1"/>
  <c r="Q164" i="26" s="1"/>
  <c r="Q165" i="26" s="1"/>
  <c r="Q166" i="26" s="1"/>
  <c r="Q167" i="26" s="1"/>
  <c r="Q168" i="26" s="1"/>
  <c r="Q169" i="26" s="1"/>
  <c r="Q170" i="26" s="1"/>
  <c r="Q171" i="26" s="1"/>
  <c r="Q172" i="26" s="1"/>
  <c r="Q173" i="26" s="1"/>
  <c r="Q174" i="26" s="1"/>
  <c r="Q175" i="26" s="1"/>
  <c r="Q176" i="26" s="1"/>
  <c r="Q177" i="26" s="1"/>
  <c r="Q178" i="26" s="1"/>
  <c r="Q179" i="26" s="1"/>
  <c r="Q180" i="26" s="1"/>
  <c r="Q181" i="26" s="1"/>
  <c r="Q182" i="26" s="1"/>
  <c r="Q183" i="26" s="1"/>
  <c r="Q184" i="26" s="1"/>
  <c r="Q185" i="26" s="1"/>
  <c r="Q186" i="26" s="1"/>
  <c r="Q187" i="26" s="1"/>
  <c r="Q188" i="26" s="1"/>
  <c r="Q189" i="26" s="1"/>
  <c r="Q190" i="26" s="1"/>
  <c r="Q191" i="26" s="1"/>
  <c r="Q192" i="26" s="1"/>
  <c r="Q193" i="26" s="1"/>
  <c r="Q194" i="26" s="1"/>
  <c r="Q195" i="26" s="1"/>
  <c r="Q196" i="26" s="1"/>
  <c r="Q197" i="26" s="1"/>
  <c r="Q198" i="26" s="1"/>
  <c r="Q199" i="26" s="1"/>
  <c r="Q200" i="26" s="1"/>
  <c r="Q201" i="26" s="1"/>
  <c r="Q202" i="26" s="1"/>
  <c r="Q203" i="26" s="1"/>
  <c r="Q204" i="26" s="1"/>
  <c r="Q205" i="26" s="1"/>
  <c r="Q206" i="26" s="1"/>
  <c r="Q207" i="26" s="1"/>
  <c r="Q208" i="26" s="1"/>
  <c r="Q209" i="26" s="1"/>
  <c r="Q210" i="26" s="1"/>
  <c r="Q211" i="26" s="1"/>
  <c r="Q212" i="26" s="1"/>
  <c r="Q213" i="26" s="1"/>
  <c r="Q214" i="26" s="1"/>
  <c r="Q215" i="26" s="1"/>
  <c r="Q216" i="26" s="1"/>
  <c r="Q217" i="26" s="1"/>
  <c r="Q218" i="26" s="1"/>
  <c r="Q219" i="26" s="1"/>
  <c r="Q4" i="26"/>
  <c r="Q5" i="26" s="1"/>
  <c r="Q6" i="26" s="1"/>
  <c r="Q7" i="26" s="1"/>
  <c r="O3" i="26"/>
  <c r="O4" i="26" s="1"/>
  <c r="O5" i="26" s="1"/>
  <c r="O6" i="26" s="1"/>
  <c r="O7" i="26" s="1"/>
  <c r="O8" i="26" s="1"/>
  <c r="O9" i="26" s="1"/>
  <c r="O10" i="26" s="1"/>
  <c r="O11" i="26" s="1"/>
  <c r="O12" i="26" s="1"/>
  <c r="O13" i="26" s="1"/>
  <c r="O14" i="26" s="1"/>
  <c r="O15" i="26" s="1"/>
  <c r="O16" i="26" s="1"/>
  <c r="O17" i="26" s="1"/>
  <c r="O18" i="26" s="1"/>
  <c r="O19" i="26" s="1"/>
  <c r="O20" i="26" s="1"/>
  <c r="O21" i="26" s="1"/>
  <c r="O22" i="26" s="1"/>
  <c r="O23" i="26" s="1"/>
  <c r="O24" i="26" s="1"/>
  <c r="O25" i="26" s="1"/>
  <c r="O26" i="26" s="1"/>
  <c r="O27" i="26" s="1"/>
  <c r="O28" i="26" s="1"/>
  <c r="O29" i="26" s="1"/>
  <c r="O30" i="26" s="1"/>
  <c r="O31" i="26" s="1"/>
  <c r="O32" i="26" s="1"/>
  <c r="O33" i="26" s="1"/>
  <c r="O34" i="26" s="1"/>
  <c r="O35" i="26" s="1"/>
  <c r="O36" i="26" s="1"/>
  <c r="O37" i="26" s="1"/>
  <c r="O38" i="26" s="1"/>
  <c r="O39" i="26" s="1"/>
  <c r="O40" i="26" s="1"/>
  <c r="O41" i="26" s="1"/>
  <c r="O42" i="26" s="1"/>
  <c r="O43" i="26" s="1"/>
  <c r="O44" i="26" s="1"/>
  <c r="O45" i="26" s="1"/>
  <c r="O46" i="26" s="1"/>
  <c r="O47" i="26" s="1"/>
  <c r="O48" i="26" s="1"/>
  <c r="O49" i="26" s="1"/>
  <c r="O50" i="26" s="1"/>
  <c r="O51" i="26" s="1"/>
  <c r="O52" i="26" s="1"/>
  <c r="O53" i="26" s="1"/>
  <c r="O54" i="26" s="1"/>
  <c r="O55" i="26" s="1"/>
  <c r="O56" i="26" s="1"/>
  <c r="O57" i="26" s="1"/>
  <c r="O58" i="26" s="1"/>
  <c r="O59" i="26" s="1"/>
  <c r="O60" i="26" s="1"/>
  <c r="O61" i="26" s="1"/>
  <c r="O62" i="26" s="1"/>
  <c r="O63" i="26" s="1"/>
  <c r="O64" i="26" s="1"/>
  <c r="O65" i="26" s="1"/>
  <c r="O66" i="26" s="1"/>
  <c r="O67" i="26" s="1"/>
  <c r="O68" i="26" s="1"/>
  <c r="O69" i="26" s="1"/>
  <c r="O70" i="26" s="1"/>
  <c r="O71" i="26" s="1"/>
  <c r="O72" i="26" s="1"/>
  <c r="O73" i="26" s="1"/>
  <c r="O74" i="26" s="1"/>
  <c r="O75" i="26" s="1"/>
  <c r="O76" i="26" s="1"/>
  <c r="O77" i="26" s="1"/>
  <c r="O78" i="26" s="1"/>
  <c r="O79" i="26" s="1"/>
  <c r="O80" i="26" s="1"/>
  <c r="O81" i="26" s="1"/>
  <c r="O82" i="26" s="1"/>
  <c r="O83" i="26" s="1"/>
  <c r="O84" i="26" s="1"/>
  <c r="O85" i="26" s="1"/>
  <c r="O86" i="26" s="1"/>
  <c r="O87" i="26" s="1"/>
  <c r="O88" i="26" s="1"/>
  <c r="O89" i="26" s="1"/>
  <c r="O90" i="26" s="1"/>
  <c r="O91" i="26" s="1"/>
  <c r="O92" i="26" s="1"/>
  <c r="O93" i="26" s="1"/>
  <c r="O94" i="26" s="1"/>
  <c r="O95" i="26" s="1"/>
  <c r="O96" i="26" s="1"/>
  <c r="O97" i="26" s="1"/>
  <c r="O98" i="26" s="1"/>
  <c r="O99" i="26" s="1"/>
  <c r="O100" i="26" s="1"/>
  <c r="O101" i="26" s="1"/>
  <c r="O102" i="26" s="1"/>
  <c r="O103" i="26" s="1"/>
  <c r="O104" i="26" s="1"/>
  <c r="O105" i="26" s="1"/>
  <c r="O106" i="26" s="1"/>
  <c r="O107" i="26" s="1"/>
  <c r="O108" i="26" s="1"/>
  <c r="O109" i="26" s="1"/>
  <c r="O110" i="26" s="1"/>
  <c r="O111" i="26" s="1"/>
  <c r="O112" i="26" s="1"/>
  <c r="O113" i="26" s="1"/>
  <c r="O114" i="26" s="1"/>
  <c r="O115" i="26" s="1"/>
  <c r="O116" i="26" s="1"/>
  <c r="O117" i="26" s="1"/>
  <c r="O118" i="26" s="1"/>
  <c r="O119" i="26" s="1"/>
  <c r="O120" i="26" s="1"/>
  <c r="O121" i="26" s="1"/>
  <c r="O122" i="26" s="1"/>
  <c r="O123" i="26" s="1"/>
  <c r="O124" i="26" s="1"/>
  <c r="O125" i="26" s="1"/>
  <c r="O126" i="26" s="1"/>
  <c r="O127" i="26" s="1"/>
  <c r="O128" i="26" s="1"/>
  <c r="O129" i="26" s="1"/>
  <c r="O130" i="26" s="1"/>
  <c r="O131" i="26" s="1"/>
  <c r="O132" i="26" s="1"/>
  <c r="O133" i="26" s="1"/>
  <c r="O134" i="26" s="1"/>
  <c r="O135" i="26" s="1"/>
  <c r="O136" i="26" s="1"/>
  <c r="O137" i="26" s="1"/>
  <c r="O138" i="26" s="1"/>
  <c r="O139" i="26" s="1"/>
  <c r="O140" i="26" s="1"/>
  <c r="O141" i="26" s="1"/>
  <c r="O142" i="26" s="1"/>
  <c r="O143" i="26" s="1"/>
  <c r="O144" i="26" s="1"/>
  <c r="O145" i="26" s="1"/>
  <c r="O146" i="26" s="1"/>
  <c r="O147" i="26" s="1"/>
  <c r="O148" i="26" s="1"/>
  <c r="O149" i="26" s="1"/>
  <c r="O150" i="26" s="1"/>
  <c r="O151" i="26" s="1"/>
  <c r="O152" i="26" s="1"/>
  <c r="O153" i="26" s="1"/>
  <c r="O154" i="26" s="1"/>
  <c r="O155" i="26" s="1"/>
  <c r="O156" i="26" s="1"/>
  <c r="O157" i="26" s="1"/>
  <c r="O158" i="26" s="1"/>
  <c r="O159" i="26" s="1"/>
  <c r="N1" i="26"/>
  <c r="M252" i="23"/>
  <c r="Q251" i="23"/>
  <c r="O11" i="23"/>
  <c r="O12" i="23" s="1"/>
  <c r="O13" i="23" s="1"/>
  <c r="O14" i="23" s="1"/>
  <c r="O15" i="23" s="1"/>
  <c r="O16" i="23" s="1"/>
  <c r="O17" i="23" s="1"/>
  <c r="O18" i="23" s="1"/>
  <c r="O19" i="23" s="1"/>
  <c r="O20" i="23" s="1"/>
  <c r="O21" i="23" s="1"/>
  <c r="O22" i="23" s="1"/>
  <c r="O23" i="23" s="1"/>
  <c r="O24" i="23" s="1"/>
  <c r="O25" i="23" s="1"/>
  <c r="O26" i="23" s="1"/>
  <c r="O27" i="23" s="1"/>
  <c r="O28" i="23" s="1"/>
  <c r="O29" i="23" s="1"/>
  <c r="O30" i="23" s="1"/>
  <c r="O31" i="23" s="1"/>
  <c r="O32" i="23" s="1"/>
  <c r="O33" i="23" s="1"/>
  <c r="O34" i="23" s="1"/>
  <c r="O35" i="23" s="1"/>
  <c r="O36" i="23" s="1"/>
  <c r="O37" i="23" s="1"/>
  <c r="O38" i="23" s="1"/>
  <c r="O39" i="23" s="1"/>
  <c r="O40" i="23" s="1"/>
  <c r="O41" i="23" s="1"/>
  <c r="O42" i="23" s="1"/>
  <c r="O43" i="23" s="1"/>
  <c r="O44" i="23" s="1"/>
  <c r="O45" i="23" s="1"/>
  <c r="O46" i="23" s="1"/>
  <c r="O47" i="23" s="1"/>
  <c r="O48" i="23" s="1"/>
  <c r="O49" i="23" s="1"/>
  <c r="O50" i="23" s="1"/>
  <c r="O51" i="23" s="1"/>
  <c r="O52" i="23" s="1"/>
  <c r="O53" i="23" s="1"/>
  <c r="O54" i="23" s="1"/>
  <c r="O55" i="23" s="1"/>
  <c r="O56" i="23" s="1"/>
  <c r="O57" i="23" s="1"/>
  <c r="O58" i="23" s="1"/>
  <c r="O59" i="23" s="1"/>
  <c r="O60" i="23" s="1"/>
  <c r="O61" i="23" s="1"/>
  <c r="O62" i="23" s="1"/>
  <c r="O63" i="23" s="1"/>
  <c r="O64" i="23" s="1"/>
  <c r="O65" i="23" s="1"/>
  <c r="O66" i="23" s="1"/>
  <c r="O67" i="23" s="1"/>
  <c r="O68" i="23" s="1"/>
  <c r="O69" i="23" s="1"/>
  <c r="O70" i="23" s="1"/>
  <c r="O71" i="23" s="1"/>
  <c r="O72" i="23" s="1"/>
  <c r="O73" i="23" s="1"/>
  <c r="O74" i="23" s="1"/>
  <c r="O75" i="23" s="1"/>
  <c r="O76" i="23" s="1"/>
  <c r="O77" i="23" s="1"/>
  <c r="O78" i="23" s="1"/>
  <c r="O79" i="23" s="1"/>
  <c r="O80" i="23" s="1"/>
  <c r="O81" i="23" s="1"/>
  <c r="O82" i="23" s="1"/>
  <c r="O83" i="23" s="1"/>
  <c r="O84" i="23" s="1"/>
  <c r="O85" i="23" s="1"/>
  <c r="O86" i="23" s="1"/>
  <c r="O87" i="23" s="1"/>
  <c r="O88" i="23" s="1"/>
  <c r="O89" i="23" s="1"/>
  <c r="O90" i="23" s="1"/>
  <c r="O91" i="23" s="1"/>
  <c r="O92" i="23" s="1"/>
  <c r="O93" i="23" s="1"/>
  <c r="O94" i="23" s="1"/>
  <c r="O95" i="23" s="1"/>
  <c r="O96" i="23" s="1"/>
  <c r="O97" i="23" s="1"/>
  <c r="O98" i="23" s="1"/>
  <c r="O99" i="23" s="1"/>
  <c r="O100" i="23" s="1"/>
  <c r="O101" i="23" s="1"/>
  <c r="O102" i="23" s="1"/>
  <c r="O103" i="23" s="1"/>
  <c r="O104" i="23" s="1"/>
  <c r="O105" i="23" s="1"/>
  <c r="O106" i="23" s="1"/>
  <c r="O107" i="23" s="1"/>
  <c r="O108" i="23" s="1"/>
  <c r="O109" i="23" s="1"/>
  <c r="O110" i="23" s="1"/>
  <c r="O111" i="23" s="1"/>
  <c r="O112" i="23" s="1"/>
  <c r="O113" i="23" s="1"/>
  <c r="O114" i="23" s="1"/>
  <c r="O115" i="23" s="1"/>
  <c r="O116" i="23" s="1"/>
  <c r="O117" i="23" s="1"/>
  <c r="O118" i="23" s="1"/>
  <c r="O119" i="23" s="1"/>
  <c r="O120" i="23" s="1"/>
  <c r="O121" i="23" s="1"/>
  <c r="O122" i="23" s="1"/>
  <c r="O123" i="23" s="1"/>
  <c r="O124" i="23" s="1"/>
  <c r="O125" i="23" s="1"/>
  <c r="O126" i="23" s="1"/>
  <c r="O127" i="23" s="1"/>
  <c r="O128" i="23" s="1"/>
  <c r="O129" i="23" s="1"/>
  <c r="O130" i="23" s="1"/>
  <c r="O131" i="23" s="1"/>
  <c r="O132" i="23" s="1"/>
  <c r="O133" i="23" s="1"/>
  <c r="O134" i="23" s="1"/>
  <c r="O135" i="23" s="1"/>
  <c r="O136" i="23" s="1"/>
  <c r="O137" i="23" s="1"/>
  <c r="O138" i="23" s="1"/>
  <c r="O139" i="23" s="1"/>
  <c r="O140" i="23" s="1"/>
  <c r="O141" i="23" s="1"/>
  <c r="O142" i="23" s="1"/>
  <c r="O143" i="23" s="1"/>
  <c r="O144" i="23" s="1"/>
  <c r="O145" i="23" s="1"/>
  <c r="O146" i="23" s="1"/>
  <c r="O147" i="23" s="1"/>
  <c r="O148" i="23" s="1"/>
  <c r="O149" i="23" s="1"/>
  <c r="O150" i="23" s="1"/>
  <c r="O151" i="23" s="1"/>
  <c r="O152" i="23" s="1"/>
  <c r="O153" i="23" s="1"/>
  <c r="O154" i="23" s="1"/>
  <c r="O155" i="23" s="1"/>
  <c r="O156" i="23" s="1"/>
  <c r="O157" i="23" s="1"/>
  <c r="O158" i="23" s="1"/>
  <c r="O159" i="23" s="1"/>
  <c r="O160" i="23" s="1"/>
  <c r="O161" i="23" s="1"/>
  <c r="O162" i="23" s="1"/>
  <c r="O163" i="23" s="1"/>
  <c r="O164" i="23" s="1"/>
  <c r="O165" i="23" s="1"/>
  <c r="O166" i="23" s="1"/>
  <c r="O167" i="23" s="1"/>
  <c r="O168" i="23" s="1"/>
  <c r="O169" i="23" s="1"/>
  <c r="O170" i="23" s="1"/>
  <c r="O171" i="23" s="1"/>
  <c r="O172" i="23" s="1"/>
  <c r="O173" i="23" s="1"/>
  <c r="O174" i="23" s="1"/>
  <c r="O175" i="23" s="1"/>
  <c r="O176" i="23" s="1"/>
  <c r="O177" i="23" s="1"/>
  <c r="O178" i="23" s="1"/>
  <c r="O179" i="23" s="1"/>
  <c r="O180" i="23" s="1"/>
  <c r="O181" i="23" s="1"/>
  <c r="O182" i="23" s="1"/>
  <c r="O183" i="23" s="1"/>
  <c r="O184" i="23" s="1"/>
  <c r="O185" i="23" s="1"/>
  <c r="O186" i="23" s="1"/>
  <c r="O187" i="23" s="1"/>
  <c r="O188" i="23" s="1"/>
  <c r="O189" i="23" s="1"/>
  <c r="O190" i="23" s="1"/>
  <c r="O191" i="23" s="1"/>
  <c r="O192" i="23" s="1"/>
  <c r="O193" i="23" s="1"/>
  <c r="O194" i="23" s="1"/>
  <c r="O195" i="23" s="1"/>
  <c r="O196" i="23" s="1"/>
  <c r="O197" i="23" s="1"/>
  <c r="O198" i="23" s="1"/>
  <c r="O199" i="23" s="1"/>
  <c r="O200" i="23" s="1"/>
  <c r="O201" i="23" s="1"/>
  <c r="O202" i="23" s="1"/>
  <c r="O203" i="23" s="1"/>
  <c r="O204" i="23" s="1"/>
  <c r="O205" i="23" s="1"/>
  <c r="O206" i="23" s="1"/>
  <c r="O207" i="23" s="1"/>
  <c r="O208" i="23" s="1"/>
  <c r="O209" i="23" s="1"/>
  <c r="O210" i="23" s="1"/>
  <c r="O211" i="23" s="1"/>
  <c r="O212" i="23" s="1"/>
  <c r="O213" i="23" s="1"/>
  <c r="O214" i="23" s="1"/>
  <c r="O215" i="23" s="1"/>
  <c r="O216" i="23" s="1"/>
  <c r="O217" i="23" s="1"/>
  <c r="O218" i="23" s="1"/>
  <c r="O219" i="23" s="1"/>
  <c r="O220" i="23" s="1"/>
  <c r="O221" i="23" s="1"/>
  <c r="O222" i="23" s="1"/>
  <c r="O223" i="23" s="1"/>
  <c r="O224" i="23" s="1"/>
  <c r="O225" i="23" s="1"/>
  <c r="O226" i="23" s="1"/>
  <c r="O227" i="23" s="1"/>
  <c r="O228" i="23" s="1"/>
  <c r="O229" i="23" s="1"/>
  <c r="O230" i="23" s="1"/>
  <c r="O231" i="23" s="1"/>
  <c r="O232" i="23" s="1"/>
  <c r="O233" i="23" s="1"/>
  <c r="O234" i="23" s="1"/>
  <c r="O235" i="23" s="1"/>
  <c r="O236" i="23" s="1"/>
  <c r="O237" i="23" s="1"/>
  <c r="O238" i="23" s="1"/>
  <c r="O239" i="23" s="1"/>
  <c r="O240" i="23" s="1"/>
  <c r="O241" i="23" s="1"/>
  <c r="O242" i="23" s="1"/>
  <c r="O243" i="23" s="1"/>
  <c r="O244" i="23" s="1"/>
  <c r="O245" i="23" s="1"/>
  <c r="O246" i="23" s="1"/>
  <c r="O247" i="23" s="1"/>
  <c r="O248" i="23" s="1"/>
  <c r="O249" i="23" s="1"/>
  <c r="O250" i="23" s="1"/>
  <c r="O251" i="23" s="1"/>
  <c r="N252" i="23"/>
  <c r="Q11" i="23"/>
  <c r="Q12" i="23" s="1"/>
  <c r="Q13" i="23" s="1"/>
  <c r="Q14" i="23" s="1"/>
  <c r="Q15" i="23" s="1"/>
  <c r="Q16" i="23" s="1"/>
  <c r="Q17" i="23" s="1"/>
  <c r="Q18" i="23" s="1"/>
  <c r="Q19" i="23" s="1"/>
  <c r="Q20" i="23" s="1"/>
  <c r="Q21" i="23" s="1"/>
  <c r="Q22" i="23" s="1"/>
  <c r="Q23" i="23" s="1"/>
  <c r="Q24" i="23" s="1"/>
  <c r="Q25" i="23" s="1"/>
  <c r="Q26" i="23" s="1"/>
  <c r="Q27" i="23" s="1"/>
  <c r="Q28" i="23" s="1"/>
  <c r="Q29" i="23" s="1"/>
  <c r="Q30" i="23" s="1"/>
  <c r="Q31" i="23" s="1"/>
  <c r="Q32" i="23" s="1"/>
  <c r="Q33" i="23" s="1"/>
  <c r="Q34" i="23" s="1"/>
  <c r="Q35" i="23" s="1"/>
  <c r="Q36" i="23" s="1"/>
  <c r="Q37" i="23" s="1"/>
  <c r="Q38" i="23" s="1"/>
  <c r="Q39" i="23" s="1"/>
  <c r="Q40" i="23" s="1"/>
  <c r="Q41" i="23" s="1"/>
  <c r="Q42" i="23" s="1"/>
  <c r="Q43" i="23" s="1"/>
  <c r="Q44" i="23" s="1"/>
  <c r="Q45" i="23" s="1"/>
  <c r="Q46" i="23" s="1"/>
  <c r="Q47" i="23" s="1"/>
  <c r="Q48" i="23" s="1"/>
  <c r="Q49" i="23" s="1"/>
  <c r="Q50" i="23" s="1"/>
  <c r="Q51" i="23" s="1"/>
  <c r="Q52" i="23" s="1"/>
  <c r="Q53" i="23" s="1"/>
  <c r="Q54" i="23" s="1"/>
  <c r="Q55" i="23" s="1"/>
  <c r="Q56" i="23" s="1"/>
  <c r="Q57" i="23" s="1"/>
  <c r="Q58" i="23" s="1"/>
  <c r="Q59" i="23" s="1"/>
  <c r="Q60" i="23" s="1"/>
  <c r="Q61" i="23" s="1"/>
  <c r="Q62" i="23" s="1"/>
  <c r="Q63" i="23" s="1"/>
  <c r="Q64" i="23" s="1"/>
  <c r="Q65" i="23" s="1"/>
  <c r="Q66" i="23" s="1"/>
  <c r="Q67" i="23" s="1"/>
  <c r="Q68" i="23" s="1"/>
  <c r="Q69" i="23" s="1"/>
  <c r="Q70" i="23" s="1"/>
  <c r="Q71" i="23" s="1"/>
  <c r="Q72" i="23" s="1"/>
  <c r="Q73" i="23" s="1"/>
  <c r="Q74" i="23" s="1"/>
  <c r="Q75" i="23" s="1"/>
  <c r="Q76" i="23" s="1"/>
  <c r="Q77" i="23" s="1"/>
  <c r="Q78" i="23" s="1"/>
  <c r="Q79" i="23" s="1"/>
  <c r="Q80" i="23" s="1"/>
  <c r="Q81" i="23" s="1"/>
  <c r="Q82" i="23" s="1"/>
  <c r="Q83" i="23" s="1"/>
  <c r="Q84" i="23" s="1"/>
  <c r="Q85" i="23" s="1"/>
  <c r="Q86" i="23" s="1"/>
  <c r="Q87" i="23" s="1"/>
  <c r="Q88" i="23" s="1"/>
  <c r="Q89" i="23" s="1"/>
  <c r="Q90" i="23" s="1"/>
  <c r="Q91" i="23" s="1"/>
  <c r="Q92" i="23" s="1"/>
  <c r="Q93" i="23" s="1"/>
  <c r="Q94" i="23" s="1"/>
  <c r="Q95" i="23" s="1"/>
  <c r="Q96" i="23" s="1"/>
  <c r="Q97" i="23" s="1"/>
  <c r="Q98" i="23" s="1"/>
  <c r="Q99" i="23" s="1"/>
  <c r="Q100" i="23" s="1"/>
  <c r="Q101" i="23" s="1"/>
  <c r="Q102" i="23" s="1"/>
  <c r="Q103" i="23" s="1"/>
  <c r="Q104" i="23" s="1"/>
  <c r="Q105" i="23" s="1"/>
  <c r="Q106" i="23" s="1"/>
  <c r="Q107" i="23" s="1"/>
  <c r="Q108" i="23" s="1"/>
  <c r="Q109" i="23" s="1"/>
  <c r="Q110" i="23" s="1"/>
  <c r="Q111" i="23" s="1"/>
  <c r="Q112" i="23" s="1"/>
  <c r="Q113" i="23" s="1"/>
  <c r="Q114" i="23" s="1"/>
  <c r="Q115" i="23" s="1"/>
  <c r="Q116" i="23" s="1"/>
  <c r="Q117" i="23" s="1"/>
  <c r="Q118" i="23" s="1"/>
  <c r="Q119" i="23" s="1"/>
  <c r="Q120" i="23" s="1"/>
  <c r="Q121" i="23" s="1"/>
  <c r="Q122" i="23" s="1"/>
  <c r="Q123" i="23" s="1"/>
  <c r="Q124" i="23" s="1"/>
  <c r="Q125" i="23" s="1"/>
  <c r="Q126" i="23" s="1"/>
  <c r="Q127" i="23" s="1"/>
  <c r="Q128" i="23" s="1"/>
  <c r="Q129" i="23" s="1"/>
  <c r="Q130" i="23" s="1"/>
  <c r="Q131" i="23" s="1"/>
  <c r="Q132" i="23" s="1"/>
  <c r="Q133" i="23" s="1"/>
  <c r="Q134" i="23" s="1"/>
  <c r="Q135" i="23" s="1"/>
  <c r="Q136" i="23" s="1"/>
  <c r="Q137" i="23" s="1"/>
  <c r="Q138" i="23" s="1"/>
  <c r="Q139" i="23" s="1"/>
  <c r="Q140" i="23" s="1"/>
  <c r="Q141" i="23" s="1"/>
  <c r="Q142" i="23" s="1"/>
  <c r="Q143" i="23" s="1"/>
  <c r="Q144" i="23" s="1"/>
  <c r="Q145" i="23" s="1"/>
  <c r="Q146" i="23" s="1"/>
  <c r="Q147" i="23" s="1"/>
  <c r="Q148" i="23" s="1"/>
  <c r="Q149" i="23" s="1"/>
  <c r="Q150" i="23" s="1"/>
  <c r="Q151" i="23" s="1"/>
  <c r="Q152" i="23" s="1"/>
  <c r="Q153" i="23" s="1"/>
  <c r="Q154" i="23" s="1"/>
  <c r="Q155" i="23" s="1"/>
  <c r="Q156" i="23" s="1"/>
  <c r="Q157" i="23" s="1"/>
  <c r="Q158" i="23" s="1"/>
  <c r="Q159" i="23" s="1"/>
  <c r="Q4" i="23"/>
  <c r="Q5" i="23" s="1"/>
  <c r="Q6" i="23" s="1"/>
  <c r="Q7" i="23" s="1"/>
  <c r="O3" i="23"/>
  <c r="O4" i="23" s="1"/>
  <c r="O5" i="23" s="1"/>
  <c r="O6" i="23" s="1"/>
  <c r="O7" i="23" s="1"/>
  <c r="O8" i="23" s="1"/>
  <c r="O9" i="23" s="1"/>
  <c r="O10" i="23" s="1"/>
  <c r="F69" i="26" l="1"/>
  <c r="C65" i="26"/>
  <c r="F17" i="26"/>
  <c r="F65" i="26" s="1"/>
  <c r="M252" i="26"/>
  <c r="O252" i="26" s="1"/>
  <c r="C66" i="26" s="1"/>
  <c r="F66" i="26" s="1"/>
  <c r="C69" i="26"/>
  <c r="Q220" i="26"/>
  <c r="Q221" i="26" s="1"/>
  <c r="Q222" i="26" s="1"/>
  <c r="Q223" i="26" s="1"/>
  <c r="Q224" i="26" s="1"/>
  <c r="Q225" i="26" s="1"/>
  <c r="Q226" i="26" s="1"/>
  <c r="Q227" i="26" s="1"/>
  <c r="Q228" i="26" s="1"/>
  <c r="Q229" i="26" s="1"/>
  <c r="Q230" i="26" s="1"/>
  <c r="Q231" i="26" s="1"/>
  <c r="Q232" i="26" s="1"/>
  <c r="Q233" i="26" s="1"/>
  <c r="Q234" i="26" s="1"/>
  <c r="Q235" i="26" s="1"/>
  <c r="Q236" i="26" s="1"/>
  <c r="Q237" i="26" s="1"/>
  <c r="Q238" i="26" s="1"/>
  <c r="Q239" i="26" s="1"/>
  <c r="Q240" i="26" s="1"/>
  <c r="Q241" i="26" s="1"/>
  <c r="Q242" i="26" s="1"/>
  <c r="Q243" i="26" s="1"/>
  <c r="Q244" i="26" s="1"/>
  <c r="Q245" i="26" s="1"/>
  <c r="Q246" i="26" s="1"/>
  <c r="Q247" i="26" s="1"/>
  <c r="Q248" i="26" s="1"/>
  <c r="Q249" i="26" s="1"/>
  <c r="Q250" i="26" s="1"/>
  <c r="Q251" i="26" s="1"/>
  <c r="O160" i="26"/>
  <c r="O161" i="26" s="1"/>
  <c r="O162" i="26" s="1"/>
  <c r="O163" i="26" s="1"/>
  <c r="O164" i="26" s="1"/>
  <c r="O165" i="26" s="1"/>
  <c r="O166" i="26" s="1"/>
  <c r="O167" i="26" s="1"/>
  <c r="O168" i="26" s="1"/>
  <c r="O169" i="26" s="1"/>
  <c r="O170" i="26" s="1"/>
  <c r="O171" i="26" s="1"/>
  <c r="O172" i="26" s="1"/>
  <c r="O173" i="26" s="1"/>
  <c r="O174" i="26" s="1"/>
  <c r="O175" i="26" s="1"/>
  <c r="O176" i="26" s="1"/>
  <c r="O177" i="26" s="1"/>
  <c r="O178" i="26" s="1"/>
  <c r="O179" i="26" s="1"/>
  <c r="O180" i="26" s="1"/>
  <c r="O181" i="26" s="1"/>
  <c r="O182" i="26" s="1"/>
  <c r="O183" i="26" s="1"/>
  <c r="O184" i="26" s="1"/>
  <c r="O185" i="26" s="1"/>
  <c r="O186" i="26" s="1"/>
  <c r="O187" i="26" s="1"/>
  <c r="O188" i="26" s="1"/>
  <c r="O189" i="26" s="1"/>
  <c r="O190" i="26" s="1"/>
  <c r="O191" i="26" s="1"/>
  <c r="O192" i="26" s="1"/>
  <c r="O193" i="26" s="1"/>
  <c r="O194" i="26" s="1"/>
  <c r="O195" i="26" s="1"/>
  <c r="O196" i="26" s="1"/>
  <c r="O197" i="26" s="1"/>
  <c r="O198" i="26" s="1"/>
  <c r="O199" i="26" s="1"/>
  <c r="O200" i="26" s="1"/>
  <c r="O201" i="26" s="1"/>
  <c r="O202" i="26" s="1"/>
  <c r="O203" i="26" s="1"/>
  <c r="O204" i="26" s="1"/>
  <c r="O205" i="26" s="1"/>
  <c r="O206" i="26" s="1"/>
  <c r="O207" i="26" s="1"/>
  <c r="O208" i="26" s="1"/>
  <c r="O209" i="26" s="1"/>
  <c r="O210" i="26" s="1"/>
  <c r="O211" i="26" s="1"/>
  <c r="O212" i="26" s="1"/>
  <c r="O213" i="26" s="1"/>
  <c r="O214" i="26" s="1"/>
  <c r="O215" i="26" s="1"/>
  <c r="O216" i="26" s="1"/>
  <c r="O217" i="26" s="1"/>
  <c r="O218" i="26" s="1"/>
  <c r="O219" i="26" s="1"/>
  <c r="O220" i="26" s="1"/>
  <c r="O221" i="26" s="1"/>
  <c r="O222" i="26" s="1"/>
  <c r="O223" i="26" s="1"/>
  <c r="O224" i="26" s="1"/>
  <c r="O225" i="26" s="1"/>
  <c r="O226" i="26" s="1"/>
  <c r="O227" i="26" s="1"/>
  <c r="O228" i="26" s="1"/>
  <c r="O229" i="26" s="1"/>
  <c r="O230" i="26" s="1"/>
  <c r="O231" i="26" s="1"/>
  <c r="O232" i="26" s="1"/>
  <c r="O233" i="26" s="1"/>
  <c r="O234" i="26" s="1"/>
  <c r="O235" i="26" s="1"/>
  <c r="O236" i="26" s="1"/>
  <c r="O237" i="26" s="1"/>
  <c r="O238" i="26" s="1"/>
  <c r="O239" i="26" s="1"/>
  <c r="O240" i="26" s="1"/>
  <c r="O241" i="26" s="1"/>
  <c r="O242" i="26" s="1"/>
  <c r="O243" i="26" s="1"/>
  <c r="O244" i="26" s="1"/>
  <c r="O245" i="26" s="1"/>
  <c r="O246" i="26" s="1"/>
  <c r="O247" i="26" s="1"/>
  <c r="O248" i="26" s="1"/>
  <c r="O249" i="26" s="1"/>
  <c r="O250" i="26" s="1"/>
  <c r="O251" i="26" s="1"/>
  <c r="N238" i="23"/>
  <c r="M202" i="23"/>
  <c r="C59" i="23" l="1"/>
  <c r="F59" i="23" s="1"/>
  <c r="M220" i="23"/>
  <c r="E59" i="23"/>
  <c r="C17" i="23"/>
  <c r="C75" i="23"/>
  <c r="C74" i="23"/>
  <c r="C73" i="23"/>
  <c r="C72" i="23"/>
  <c r="C71" i="23"/>
  <c r="C69" i="23"/>
  <c r="C68" i="23"/>
  <c r="C67" i="23"/>
  <c r="C66" i="23"/>
  <c r="C65" i="23"/>
  <c r="C64" i="23"/>
  <c r="C63" i="23"/>
  <c r="C62" i="23"/>
  <c r="C61" i="23"/>
  <c r="C57" i="23"/>
  <c r="C56" i="23"/>
  <c r="C55" i="23"/>
  <c r="C54" i="23"/>
  <c r="C53" i="23"/>
  <c r="C51" i="23"/>
  <c r="C50" i="23"/>
  <c r="C49" i="23"/>
  <c r="C48" i="23"/>
  <c r="C47" i="23"/>
  <c r="C46" i="23"/>
  <c r="C45" i="23"/>
  <c r="C44" i="23"/>
  <c r="C22" i="23"/>
  <c r="C21" i="23"/>
  <c r="C20" i="23"/>
  <c r="C33" i="23"/>
  <c r="C28" i="23"/>
  <c r="C30" i="23"/>
  <c r="C31" i="23"/>
  <c r="C32" i="23"/>
  <c r="M160" i="23" l="1"/>
  <c r="C23" i="23"/>
  <c r="F23" i="23" s="1"/>
  <c r="C24" i="23"/>
  <c r="E24" i="23" s="1"/>
  <c r="F24" i="23" s="1"/>
  <c r="C25" i="23"/>
  <c r="E25" i="23" s="1"/>
  <c r="F25" i="23" s="1"/>
  <c r="C26" i="23"/>
  <c r="E26" i="23" s="1"/>
  <c r="F26" i="23" s="1"/>
  <c r="C27" i="23"/>
  <c r="E27" i="23" s="1"/>
  <c r="F27" i="23" s="1"/>
  <c r="F17" i="23"/>
  <c r="Q160" i="23" l="1"/>
  <c r="Q161" i="23" s="1"/>
  <c r="Q162" i="23" s="1"/>
  <c r="Q163" i="23" s="1"/>
  <c r="Q164" i="23" s="1"/>
  <c r="Q165" i="23" s="1"/>
  <c r="Q166" i="23" s="1"/>
  <c r="Q167" i="23" s="1"/>
  <c r="Q168" i="23" s="1"/>
  <c r="Q169" i="23" s="1"/>
  <c r="Q170" i="23" s="1"/>
  <c r="Q171" i="23" s="1"/>
  <c r="Q172" i="23" s="1"/>
  <c r="Q173" i="23" s="1"/>
  <c r="Q174" i="23" s="1"/>
  <c r="Q175" i="23" s="1"/>
  <c r="Q176" i="23" s="1"/>
  <c r="Q177" i="23" s="1"/>
  <c r="Q178" i="23" s="1"/>
  <c r="Q179" i="23" s="1"/>
  <c r="Q180" i="23" s="1"/>
  <c r="Q181" i="23" s="1"/>
  <c r="Q182" i="23" s="1"/>
  <c r="Q183" i="23" s="1"/>
  <c r="Q184" i="23" s="1"/>
  <c r="Q185" i="23" s="1"/>
  <c r="Q186" i="23" s="1"/>
  <c r="Q187" i="23" s="1"/>
  <c r="Q188" i="23" s="1"/>
  <c r="Q189" i="23" s="1"/>
  <c r="Q190" i="23" s="1"/>
  <c r="Q191" i="23" s="1"/>
  <c r="Q192" i="23" s="1"/>
  <c r="Q193" i="23" s="1"/>
  <c r="Q194" i="23" s="1"/>
  <c r="Q195" i="23" s="1"/>
  <c r="Q196" i="23" s="1"/>
  <c r="Q197" i="23" s="1"/>
  <c r="Q198" i="23" s="1"/>
  <c r="Q199" i="23" s="1"/>
  <c r="Q200" i="23" s="1"/>
  <c r="Q201" i="23" s="1"/>
  <c r="Q202" i="23" s="1"/>
  <c r="Q203" i="23" s="1"/>
  <c r="Q204" i="23" s="1"/>
  <c r="Q205" i="23" s="1"/>
  <c r="Q206" i="23" s="1"/>
  <c r="Q207" i="23" s="1"/>
  <c r="Q208" i="23" s="1"/>
  <c r="Q209" i="23" s="1"/>
  <c r="Q210" i="23" s="1"/>
  <c r="Q211" i="23" s="1"/>
  <c r="Q212" i="23" s="1"/>
  <c r="Q213" i="23" s="1"/>
  <c r="Q214" i="23" s="1"/>
  <c r="Q215" i="23" s="1"/>
  <c r="Q216" i="23" s="1"/>
  <c r="Q217" i="23" s="1"/>
  <c r="Q218" i="23" s="1"/>
  <c r="Q219" i="23" s="1"/>
  <c r="Q220" i="23" s="1"/>
  <c r="Q221" i="23" s="1"/>
  <c r="Q222" i="23" s="1"/>
  <c r="Q223" i="23" s="1"/>
  <c r="Q224" i="23" s="1"/>
  <c r="Q225" i="23" s="1"/>
  <c r="Q226" i="23" s="1"/>
  <c r="Q227" i="23" s="1"/>
  <c r="Q228" i="23" s="1"/>
  <c r="Q229" i="23" s="1"/>
  <c r="Q230" i="23" s="1"/>
  <c r="Q231" i="23" s="1"/>
  <c r="Q232" i="23" s="1"/>
  <c r="Q233" i="23" s="1"/>
  <c r="Q234" i="23" s="1"/>
  <c r="Q235" i="23" s="1"/>
  <c r="Q236" i="23" s="1"/>
  <c r="Q237" i="23" s="1"/>
  <c r="Q238" i="23" s="1"/>
  <c r="Q239" i="23" s="1"/>
  <c r="Q240" i="23" s="1"/>
  <c r="Q241" i="23" s="1"/>
  <c r="Q242" i="23" s="1"/>
  <c r="Q243" i="23" s="1"/>
  <c r="Q244" i="23" s="1"/>
  <c r="Q245" i="23" s="1"/>
  <c r="Q246" i="23" s="1"/>
  <c r="Q247" i="23" s="1"/>
  <c r="Q248" i="23" s="1"/>
  <c r="Q249" i="23" s="1"/>
  <c r="Q250" i="23" s="1"/>
  <c r="C70" i="23"/>
  <c r="F77" i="25"/>
  <c r="F78" i="25" s="1"/>
  <c r="F79" i="25" s="1"/>
  <c r="O252" i="23" l="1"/>
  <c r="C33" i="21"/>
  <c r="F33" i="21" s="1"/>
  <c r="C22" i="21"/>
  <c r="F22" i="21" s="1"/>
  <c r="F59" i="25"/>
  <c r="F12" i="25"/>
  <c r="F13" i="25" s="1"/>
  <c r="F14" i="25" s="1"/>
  <c r="F15" i="25" s="1"/>
  <c r="F16" i="25" s="1"/>
  <c r="F17" i="25" s="1"/>
  <c r="F18" i="25" s="1"/>
  <c r="F19" i="25" s="1"/>
  <c r="F3" i="25"/>
  <c r="F4" i="25" s="1"/>
  <c r="C2" i="24"/>
  <c r="C4" i="24" s="1"/>
  <c r="C6" i="24" s="1"/>
  <c r="C9" i="24"/>
  <c r="C11" i="24" s="1"/>
  <c r="C13" i="24" s="1"/>
  <c r="C16" i="24"/>
  <c r="C18" i="24" s="1"/>
  <c r="C20" i="24" s="1"/>
  <c r="C23" i="24"/>
  <c r="C25" i="24" s="1"/>
  <c r="C27" i="24" s="1"/>
  <c r="C30" i="24"/>
  <c r="C32" i="24" s="1"/>
  <c r="C34" i="24" s="1"/>
  <c r="C37" i="24"/>
  <c r="C39" i="24" s="1"/>
  <c r="C41" i="24" s="1"/>
  <c r="C44" i="24"/>
  <c r="C46" i="24" s="1"/>
  <c r="C48" i="24" s="1"/>
  <c r="C51" i="24"/>
  <c r="C53" i="24" s="1"/>
  <c r="C55" i="24" s="1"/>
  <c r="C58" i="24"/>
  <c r="C60" i="24" s="1"/>
  <c r="C62" i="24" s="1"/>
  <c r="C65" i="24"/>
  <c r="C67" i="24" s="1"/>
  <c r="C69" i="24" s="1"/>
  <c r="C74" i="24"/>
  <c r="C76" i="24"/>
  <c r="C18" i="23"/>
  <c r="F18" i="23" s="1"/>
  <c r="L58" i="22"/>
  <c r="L39" i="22"/>
  <c r="D77" i="23"/>
  <c r="D76" i="23"/>
  <c r="C58" i="23"/>
  <c r="F58" i="23" s="1"/>
  <c r="C60" i="23"/>
  <c r="F60" i="23" s="1"/>
  <c r="F61" i="23"/>
  <c r="F20" i="23"/>
  <c r="F75" i="23"/>
  <c r="F74" i="23"/>
  <c r="F73" i="23"/>
  <c r="F72" i="23"/>
  <c r="F71" i="23"/>
  <c r="F70" i="23"/>
  <c r="F69" i="23"/>
  <c r="F68" i="23"/>
  <c r="F67" i="23"/>
  <c r="F66" i="23"/>
  <c r="F65" i="23"/>
  <c r="F64" i="23"/>
  <c r="F63" i="23"/>
  <c r="F62" i="23"/>
  <c r="F57" i="23"/>
  <c r="F56" i="23"/>
  <c r="F55" i="23"/>
  <c r="F54" i="23"/>
  <c r="F53" i="23"/>
  <c r="C52" i="23"/>
  <c r="F52" i="23" s="1"/>
  <c r="F51" i="23"/>
  <c r="F50" i="23"/>
  <c r="F49" i="23"/>
  <c r="F48" i="23"/>
  <c r="F47" i="23"/>
  <c r="F46" i="23"/>
  <c r="F45" i="23"/>
  <c r="F44" i="23"/>
  <c r="C43" i="23"/>
  <c r="F43" i="23" s="1"/>
  <c r="C42" i="23"/>
  <c r="F42" i="23" s="1"/>
  <c r="C41" i="23"/>
  <c r="F41" i="23" s="1"/>
  <c r="C40" i="23"/>
  <c r="F40" i="23" s="1"/>
  <c r="C39" i="23"/>
  <c r="F39" i="23" s="1"/>
  <c r="C38" i="23"/>
  <c r="F38" i="23" s="1"/>
  <c r="C37" i="23"/>
  <c r="F37" i="23" s="1"/>
  <c r="C36" i="23"/>
  <c r="F36" i="23" s="1"/>
  <c r="C35" i="23"/>
  <c r="F35" i="23" s="1"/>
  <c r="C34" i="23"/>
  <c r="F34" i="23" s="1"/>
  <c r="F33" i="23"/>
  <c r="F32" i="23"/>
  <c r="F31" i="23"/>
  <c r="F30" i="23"/>
  <c r="C29" i="23"/>
  <c r="F29" i="23" s="1"/>
  <c r="F28" i="23"/>
  <c r="F22" i="23"/>
  <c r="F21" i="23"/>
  <c r="C19" i="23"/>
  <c r="F19" i="23" s="1"/>
  <c r="F14" i="23"/>
  <c r="N1" i="23"/>
  <c r="J5" i="22"/>
  <c r="N36" i="21"/>
  <c r="N71" i="21"/>
  <c r="C18" i="21"/>
  <c r="B3" i="22" s="1"/>
  <c r="Q3" i="21"/>
  <c r="O3" i="21"/>
  <c r="O4" i="21" s="1"/>
  <c r="O5" i="21" s="1"/>
  <c r="O6" i="21" s="1"/>
  <c r="O7" i="21" s="1"/>
  <c r="O8" i="21" s="1"/>
  <c r="O9" i="21" s="1"/>
  <c r="O10" i="21" s="1"/>
  <c r="O11" i="21" s="1"/>
  <c r="O12" i="21" s="1"/>
  <c r="O13" i="21" s="1"/>
  <c r="E57" i="22"/>
  <c r="E56" i="22"/>
  <c r="E55" i="22"/>
  <c r="E54" i="22"/>
  <c r="E53" i="22"/>
  <c r="E52" i="22"/>
  <c r="E51" i="22"/>
  <c r="E50" i="22"/>
  <c r="E49" i="22"/>
  <c r="E48" i="22"/>
  <c r="E47" i="22"/>
  <c r="E46" i="22"/>
  <c r="E45" i="22"/>
  <c r="E44" i="22"/>
  <c r="E43" i="22"/>
  <c r="E42" i="22"/>
  <c r="E41" i="22"/>
  <c r="E6" i="22"/>
  <c r="E7" i="22"/>
  <c r="E8" i="22"/>
  <c r="E9" i="22"/>
  <c r="E10" i="22"/>
  <c r="E11" i="22"/>
  <c r="E12" i="22"/>
  <c r="E13" i="22"/>
  <c r="E14" i="22"/>
  <c r="E15" i="22"/>
  <c r="E17" i="22"/>
  <c r="E18" i="22"/>
  <c r="E19" i="22"/>
  <c r="E20" i="22"/>
  <c r="E21" i="22"/>
  <c r="E22" i="22"/>
  <c r="E23" i="22"/>
  <c r="E24" i="22"/>
  <c r="E25" i="22"/>
  <c r="E26" i="22"/>
  <c r="E27" i="22"/>
  <c r="E28" i="22"/>
  <c r="E29" i="22"/>
  <c r="E30" i="22"/>
  <c r="E31" i="22"/>
  <c r="E32" i="22"/>
  <c r="E33" i="22"/>
  <c r="E34" i="22"/>
  <c r="E35" i="22"/>
  <c r="E36" i="22"/>
  <c r="E37" i="22"/>
  <c r="E38" i="22"/>
  <c r="E5" i="22"/>
  <c r="J16" i="22"/>
  <c r="J10" i="22"/>
  <c r="J17" i="22"/>
  <c r="J23" i="22"/>
  <c r="J15" i="22"/>
  <c r="J19" i="22"/>
  <c r="J7" i="22"/>
  <c r="J8" i="22"/>
  <c r="J9" i="22"/>
  <c r="J11" i="22"/>
  <c r="J12" i="22"/>
  <c r="J13" i="22"/>
  <c r="J18" i="22"/>
  <c r="J20" i="22"/>
  <c r="J21" i="22"/>
  <c r="J22" i="22"/>
  <c r="J24" i="22"/>
  <c r="J25" i="22"/>
  <c r="J26" i="22"/>
  <c r="J29" i="22"/>
  <c r="J33" i="22"/>
  <c r="J34" i="22"/>
  <c r="J37" i="22"/>
  <c r="J38" i="22"/>
  <c r="J28" i="22"/>
  <c r="J14" i="22"/>
  <c r="C58" i="22"/>
  <c r="D58" i="22"/>
  <c r="B58" i="22"/>
  <c r="J49" i="22"/>
  <c r="D39" i="22"/>
  <c r="C39" i="22"/>
  <c r="G58" i="22"/>
  <c r="J57" i="22"/>
  <c r="J56" i="22"/>
  <c r="J55" i="22"/>
  <c r="J54" i="22"/>
  <c r="J53" i="22"/>
  <c r="J52" i="22"/>
  <c r="J51" i="22"/>
  <c r="J50" i="22"/>
  <c r="J48" i="22"/>
  <c r="J47" i="22"/>
  <c r="J46" i="22"/>
  <c r="J45" i="22"/>
  <c r="J44" i="22"/>
  <c r="I58" i="22"/>
  <c r="J42" i="22"/>
  <c r="J41" i="22"/>
  <c r="J36" i="22"/>
  <c r="J35" i="22"/>
  <c r="J32" i="22"/>
  <c r="J31" i="22"/>
  <c r="J30" i="22"/>
  <c r="J27" i="22"/>
  <c r="F60" i="25" l="1"/>
  <c r="F61" i="25" s="1"/>
  <c r="F62" i="25" s="1"/>
  <c r="F63" i="25" s="1"/>
  <c r="F64" i="25" s="1"/>
  <c r="F65" i="25" s="1"/>
  <c r="F66" i="25" s="1"/>
  <c r="F67" i="25" s="1"/>
  <c r="F68" i="25" s="1"/>
  <c r="F20" i="25"/>
  <c r="F21" i="25" s="1"/>
  <c r="F22" i="25" s="1"/>
  <c r="F23" i="25" s="1"/>
  <c r="F24" i="25" s="1"/>
  <c r="F25" i="25" s="1"/>
  <c r="F26" i="25" s="1"/>
  <c r="F27" i="25" s="1"/>
  <c r="F77" i="23"/>
  <c r="L60" i="22"/>
  <c r="C77" i="23"/>
  <c r="O14" i="21"/>
  <c r="O15" i="21" s="1"/>
  <c r="O16" i="21" s="1"/>
  <c r="O17" i="21" s="1"/>
  <c r="O18" i="21" s="1"/>
  <c r="O19" i="21" s="1"/>
  <c r="O20" i="21" s="1"/>
  <c r="O21" i="21" s="1"/>
  <c r="O22" i="21" s="1"/>
  <c r="Q8" i="21"/>
  <c r="Q9" i="21" s="1"/>
  <c r="Q10" i="21" s="1"/>
  <c r="C60" i="22"/>
  <c r="D60" i="22"/>
  <c r="E58" i="22"/>
  <c r="B39" i="22"/>
  <c r="B60" i="22" s="1"/>
  <c r="G39" i="22"/>
  <c r="G60" i="22" s="1"/>
  <c r="J43" i="22"/>
  <c r="J58" i="22" s="1"/>
  <c r="J39" i="22"/>
  <c r="I39" i="22"/>
  <c r="I60" i="22" s="1"/>
  <c r="E39" i="22"/>
  <c r="O4" i="19"/>
  <c r="O5" i="19" s="1"/>
  <c r="O6" i="19" s="1"/>
  <c r="O7" i="19" s="1"/>
  <c r="O8" i="19" s="1"/>
  <c r="O9" i="19" s="1"/>
  <c r="O10" i="19" s="1"/>
  <c r="O11" i="19" s="1"/>
  <c r="O12" i="19" s="1"/>
  <c r="O13" i="19" s="1"/>
  <c r="O14" i="19" s="1"/>
  <c r="O15" i="19" s="1"/>
  <c r="O16" i="19" s="1"/>
  <c r="O17" i="19" s="1"/>
  <c r="O18" i="19" s="1"/>
  <c r="O19" i="19" s="1"/>
  <c r="O20" i="19" s="1"/>
  <c r="O21" i="19" s="1"/>
  <c r="O22" i="19" s="1"/>
  <c r="O23" i="19" s="1"/>
  <c r="O24" i="19" s="1"/>
  <c r="O25" i="19" s="1"/>
  <c r="O26" i="19" s="1"/>
  <c r="O27" i="19" s="1"/>
  <c r="O28" i="19" s="1"/>
  <c r="O29" i="19" s="1"/>
  <c r="O30" i="19" s="1"/>
  <c r="O31" i="19" s="1"/>
  <c r="O32" i="19" s="1"/>
  <c r="O33" i="19" s="1"/>
  <c r="O34" i="19" s="1"/>
  <c r="O35" i="19" s="1"/>
  <c r="O36" i="19" s="1"/>
  <c r="O37" i="19" s="1"/>
  <c r="O38" i="19" s="1"/>
  <c r="O39" i="19" s="1"/>
  <c r="O40" i="19" s="1"/>
  <c r="O41" i="19" s="1"/>
  <c r="O42" i="19" s="1"/>
  <c r="O43" i="19" s="1"/>
  <c r="O44" i="19" s="1"/>
  <c r="O45" i="19" s="1"/>
  <c r="O46" i="19" s="1"/>
  <c r="O47" i="19" s="1"/>
  <c r="O48" i="19" s="1"/>
  <c r="O49" i="19" s="1"/>
  <c r="O50" i="19" s="1"/>
  <c r="O51" i="19" s="1"/>
  <c r="O52" i="19" s="1"/>
  <c r="O53" i="19" s="1"/>
  <c r="O54" i="19" s="1"/>
  <c r="O55" i="19" s="1"/>
  <c r="O56" i="19" s="1"/>
  <c r="O57" i="19" s="1"/>
  <c r="O58" i="19" s="1"/>
  <c r="O59" i="19" s="1"/>
  <c r="O60" i="19" s="1"/>
  <c r="O61" i="19" s="1"/>
  <c r="O62" i="19" s="1"/>
  <c r="O63" i="19" s="1"/>
  <c r="O64" i="19" s="1"/>
  <c r="O65" i="19" s="1"/>
  <c r="O66" i="19" s="1"/>
  <c r="O67" i="19" s="1"/>
  <c r="O68" i="19" s="1"/>
  <c r="O69" i="19" s="1"/>
  <c r="O70" i="19" s="1"/>
  <c r="O71" i="19" s="1"/>
  <c r="O72" i="19" s="1"/>
  <c r="O73" i="19" s="1"/>
  <c r="O74" i="19" s="1"/>
  <c r="O75" i="19" s="1"/>
  <c r="O76" i="19" s="1"/>
  <c r="O77" i="19" s="1"/>
  <c r="O78" i="19" s="1"/>
  <c r="O79" i="19" s="1"/>
  <c r="O80" i="19" s="1"/>
  <c r="O81" i="19" s="1"/>
  <c r="O82" i="19" s="1"/>
  <c r="O83" i="19" s="1"/>
  <c r="O84" i="19" s="1"/>
  <c r="O85" i="19" s="1"/>
  <c r="O86" i="19" s="1"/>
  <c r="O87" i="19" s="1"/>
  <c r="O88" i="19" s="1"/>
  <c r="O89" i="19" s="1"/>
  <c r="O90" i="19" s="1"/>
  <c r="O91" i="19" s="1"/>
  <c r="O92" i="19" s="1"/>
  <c r="O93" i="19" s="1"/>
  <c r="O94" i="19" s="1"/>
  <c r="O95" i="19" s="1"/>
  <c r="O96" i="19" s="1"/>
  <c r="O97" i="19" s="1"/>
  <c r="O98" i="19" s="1"/>
  <c r="O99" i="19" s="1"/>
  <c r="O100" i="19" s="1"/>
  <c r="O101" i="19" s="1"/>
  <c r="O102" i="19" s="1"/>
  <c r="O103" i="19" s="1"/>
  <c r="O104" i="19" s="1"/>
  <c r="O105" i="19" s="1"/>
  <c r="O106" i="19" s="1"/>
  <c r="O107" i="19" s="1"/>
  <c r="O108" i="19" s="1"/>
  <c r="O109" i="19" s="1"/>
  <c r="O110" i="19" s="1"/>
  <c r="O111" i="19" s="1"/>
  <c r="O112" i="19" s="1"/>
  <c r="O113" i="19" s="1"/>
  <c r="O114" i="19" s="1"/>
  <c r="O115" i="19" s="1"/>
  <c r="O116" i="19" s="1"/>
  <c r="O117" i="19" s="1"/>
  <c r="O118" i="19" s="1"/>
  <c r="O119" i="19" s="1"/>
  <c r="O120" i="19" s="1"/>
  <c r="O121" i="19" s="1"/>
  <c r="O122" i="19" s="1"/>
  <c r="O123" i="19" s="1"/>
  <c r="O124" i="19" s="1"/>
  <c r="O125" i="19" s="1"/>
  <c r="O126" i="19" s="1"/>
  <c r="O127" i="19" s="1"/>
  <c r="O128" i="19" s="1"/>
  <c r="O129" i="19" s="1"/>
  <c r="O130" i="19" s="1"/>
  <c r="O131" i="19" s="1"/>
  <c r="O132" i="19" s="1"/>
  <c r="O133" i="19" s="1"/>
  <c r="O134" i="19" s="1"/>
  <c r="O135" i="19" s="1"/>
  <c r="O136" i="19" s="1"/>
  <c r="O137" i="19" s="1"/>
  <c r="O138" i="19" s="1"/>
  <c r="O139" i="19" s="1"/>
  <c r="O140" i="19" s="1"/>
  <c r="O141" i="19" s="1"/>
  <c r="O142" i="19" s="1"/>
  <c r="O143" i="19" s="1"/>
  <c r="O144" i="19" s="1"/>
  <c r="O145" i="19" s="1"/>
  <c r="O146" i="19" s="1"/>
  <c r="O147" i="19" s="1"/>
  <c r="O148" i="19" s="1"/>
  <c r="O149" i="19" s="1"/>
  <c r="O150" i="19" s="1"/>
  <c r="O151" i="19" s="1"/>
  <c r="O152" i="19" s="1"/>
  <c r="O153" i="19" s="1"/>
  <c r="O154" i="19" s="1"/>
  <c r="O155" i="19" s="1"/>
  <c r="O156" i="19" s="1"/>
  <c r="O157" i="19" s="1"/>
  <c r="O158" i="19" s="1"/>
  <c r="O159" i="19" s="1"/>
  <c r="O160" i="19" s="1"/>
  <c r="O161" i="19" s="1"/>
  <c r="O162" i="19" s="1"/>
  <c r="O163" i="19" s="1"/>
  <c r="O164" i="19" s="1"/>
  <c r="O165" i="19" s="1"/>
  <c r="O166" i="19" s="1"/>
  <c r="O167" i="19" s="1"/>
  <c r="O168" i="19" s="1"/>
  <c r="O169" i="19" s="1"/>
  <c r="O170" i="19" s="1"/>
  <c r="O171" i="19" s="1"/>
  <c r="O172" i="19" s="1"/>
  <c r="O173" i="19" s="1"/>
  <c r="O174" i="19" s="1"/>
  <c r="O175" i="19" s="1"/>
  <c r="O176" i="19" s="1"/>
  <c r="O177" i="19" s="1"/>
  <c r="O178" i="19" s="1"/>
  <c r="O179" i="19" s="1"/>
  <c r="O180" i="19" s="1"/>
  <c r="O181" i="19" s="1"/>
  <c r="O182" i="19" s="1"/>
  <c r="O183" i="19" s="1"/>
  <c r="O184" i="19" s="1"/>
  <c r="O185" i="19" s="1"/>
  <c r="O186" i="19" s="1"/>
  <c r="O187" i="19" s="1"/>
  <c r="O188" i="19" s="1"/>
  <c r="O189" i="19" s="1"/>
  <c r="O190" i="19" s="1"/>
  <c r="O191" i="19" s="1"/>
  <c r="O192" i="19" s="1"/>
  <c r="O193" i="19" s="1"/>
  <c r="O194" i="19" s="1"/>
  <c r="O195" i="19" s="1"/>
  <c r="O196" i="19" s="1"/>
  <c r="O197" i="19" s="1"/>
  <c r="O198" i="19" s="1"/>
  <c r="O199" i="19" s="1"/>
  <c r="O200" i="19" s="1"/>
  <c r="O201" i="19" s="1"/>
  <c r="O202" i="19" s="1"/>
  <c r="O203" i="19" s="1"/>
  <c r="O204" i="19" s="1"/>
  <c r="O205" i="19" s="1"/>
  <c r="C65" i="21"/>
  <c r="F65" i="21" s="1"/>
  <c r="C61" i="21"/>
  <c r="F61" i="21" s="1"/>
  <c r="F28" i="25" l="1"/>
  <c r="F29" i="25" s="1"/>
  <c r="F30" i="25" s="1"/>
  <c r="F31" i="25" s="1"/>
  <c r="F32" i="25" s="1"/>
  <c r="F33" i="25" s="1"/>
  <c r="F34" i="25" s="1"/>
  <c r="F35" i="25" s="1"/>
  <c r="F36" i="25" s="1"/>
  <c r="F37" i="25" s="1"/>
  <c r="F38" i="25" s="1"/>
  <c r="F39" i="25" s="1"/>
  <c r="F40" i="25" s="1"/>
  <c r="F41" i="25" s="1"/>
  <c r="F42" i="25" s="1"/>
  <c r="F43" i="25" s="1"/>
  <c r="F44" i="25" s="1"/>
  <c r="F45" i="25" s="1"/>
  <c r="F46" i="25" s="1"/>
  <c r="F47" i="25" s="1"/>
  <c r="F48" i="25" s="1"/>
  <c r="F49" i="25" s="1"/>
  <c r="F50" i="25" s="1"/>
  <c r="F51" i="25" s="1"/>
  <c r="F52" i="25" s="1"/>
  <c r="F53" i="25" s="1"/>
  <c r="F54" i="25" s="1"/>
  <c r="Q11" i="21"/>
  <c r="Q12" i="21" s="1"/>
  <c r="Q13" i="21" s="1"/>
  <c r="Q14" i="21" s="1"/>
  <c r="Q15" i="21" s="1"/>
  <c r="Q16" i="21" s="1"/>
  <c r="Q17" i="21" s="1"/>
  <c r="Q18" i="21" s="1"/>
  <c r="Q19" i="21" s="1"/>
  <c r="Q20" i="21" s="1"/>
  <c r="Q21" i="21" s="1"/>
  <c r="Q22" i="21" s="1"/>
  <c r="J60" i="22"/>
  <c r="E60" i="22"/>
  <c r="N206" i="19"/>
  <c r="O206" i="19" s="1"/>
  <c r="N207" i="21" l="1"/>
  <c r="M207" i="21"/>
  <c r="D104" i="21"/>
  <c r="D103" i="21"/>
  <c r="D102" i="21"/>
  <c r="D71" i="21"/>
  <c r="D70" i="21"/>
  <c r="C69" i="21"/>
  <c r="C68" i="21"/>
  <c r="C67" i="21"/>
  <c r="C66" i="21"/>
  <c r="C64" i="21"/>
  <c r="C63" i="21"/>
  <c r="C62" i="21"/>
  <c r="C60" i="21"/>
  <c r="C59" i="21"/>
  <c r="F59" i="21" s="1"/>
  <c r="C58" i="21"/>
  <c r="C57" i="21"/>
  <c r="C56" i="21"/>
  <c r="C55" i="21"/>
  <c r="C54" i="21"/>
  <c r="C53" i="21"/>
  <c r="C52" i="21"/>
  <c r="C51" i="21"/>
  <c r="C50" i="21"/>
  <c r="C49" i="21"/>
  <c r="C48" i="21"/>
  <c r="C47" i="21"/>
  <c r="C46" i="21"/>
  <c r="C45" i="21"/>
  <c r="F45" i="21" s="1"/>
  <c r="C44" i="21"/>
  <c r="C43" i="21"/>
  <c r="C42" i="21"/>
  <c r="F42" i="21" s="1"/>
  <c r="C41" i="21"/>
  <c r="F41" i="21" s="1"/>
  <c r="C40" i="21"/>
  <c r="C39" i="21"/>
  <c r="C38" i="21"/>
  <c r="C37" i="21"/>
  <c r="C36" i="21"/>
  <c r="C35" i="21"/>
  <c r="C34" i="21"/>
  <c r="C32" i="21"/>
  <c r="C31" i="21"/>
  <c r="C30" i="21"/>
  <c r="F30" i="21" s="1"/>
  <c r="C29" i="21"/>
  <c r="C28" i="21"/>
  <c r="C27" i="21"/>
  <c r="F27" i="21" s="1"/>
  <c r="C26" i="21"/>
  <c r="C25" i="21"/>
  <c r="C24" i="21"/>
  <c r="C23" i="21"/>
  <c r="C21" i="21"/>
  <c r="C20" i="21"/>
  <c r="C19" i="21"/>
  <c r="F18" i="21"/>
  <c r="F14" i="21"/>
  <c r="Q23" i="21"/>
  <c r="Q24" i="21" s="1"/>
  <c r="Q25" i="21" s="1"/>
  <c r="Q26" i="21" s="1"/>
  <c r="O23" i="21"/>
  <c r="O24" i="21" s="1"/>
  <c r="O25" i="21" s="1"/>
  <c r="O26" i="21" s="1"/>
  <c r="O27" i="21" s="1"/>
  <c r="O28" i="21" s="1"/>
  <c r="O29" i="21" s="1"/>
  <c r="O30" i="21" s="1"/>
  <c r="O31" i="21" s="1"/>
  <c r="O32" i="21" s="1"/>
  <c r="O33" i="21" s="1"/>
  <c r="O34" i="21" s="1"/>
  <c r="O35" i="21" s="1"/>
  <c r="O36" i="21" s="1"/>
  <c r="O37" i="21" s="1"/>
  <c r="O38" i="21" s="1"/>
  <c r="O39" i="21" s="1"/>
  <c r="O40" i="21" s="1"/>
  <c r="O41" i="21" s="1"/>
  <c r="O42" i="21" s="1"/>
  <c r="O43" i="21" s="1"/>
  <c r="O44" i="21" s="1"/>
  <c r="O45" i="21" s="1"/>
  <c r="O46" i="21" s="1"/>
  <c r="O47" i="21" s="1"/>
  <c r="O48" i="21" s="1"/>
  <c r="O49" i="21" s="1"/>
  <c r="O50" i="21" s="1"/>
  <c r="O51" i="21" s="1"/>
  <c r="O52" i="21" s="1"/>
  <c r="O53" i="21" s="1"/>
  <c r="O54" i="21" s="1"/>
  <c r="O55" i="21" s="1"/>
  <c r="O56" i="21" s="1"/>
  <c r="O57" i="21" s="1"/>
  <c r="O58" i="21" s="1"/>
  <c r="O59" i="21" s="1"/>
  <c r="O60" i="21" s="1"/>
  <c r="O61" i="21" s="1"/>
  <c r="O62" i="21" s="1"/>
  <c r="O63" i="21" s="1"/>
  <c r="O64" i="21" s="1"/>
  <c r="O65" i="21" s="1"/>
  <c r="O66" i="21" s="1"/>
  <c r="O67" i="21" s="1"/>
  <c r="O68" i="21" s="1"/>
  <c r="O69" i="21" s="1"/>
  <c r="N1" i="21"/>
  <c r="O70" i="21" l="1"/>
  <c r="O71" i="21" s="1"/>
  <c r="O72" i="21" s="1"/>
  <c r="O73" i="21" s="1"/>
  <c r="O74" i="21" s="1"/>
  <c r="O75" i="21" s="1"/>
  <c r="O76" i="21" s="1"/>
  <c r="O77" i="21" s="1"/>
  <c r="O78" i="21" s="1"/>
  <c r="O79" i="21" s="1"/>
  <c r="O80" i="21" s="1"/>
  <c r="O81" i="21" s="1"/>
  <c r="O82" i="21" s="1"/>
  <c r="O83" i="21" s="1"/>
  <c r="O84" i="21" s="1"/>
  <c r="O85" i="21" s="1"/>
  <c r="O86" i="21" s="1"/>
  <c r="O87" i="21" s="1"/>
  <c r="O88" i="21" s="1"/>
  <c r="O89" i="21" s="1"/>
  <c r="O90" i="21" s="1"/>
  <c r="O91" i="21" s="1"/>
  <c r="O92" i="21" s="1"/>
  <c r="O93" i="21" s="1"/>
  <c r="O94" i="21" s="1"/>
  <c r="O95" i="21" s="1"/>
  <c r="O96" i="21" s="1"/>
  <c r="O97" i="21" s="1"/>
  <c r="O98" i="21" s="1"/>
  <c r="O99" i="21" s="1"/>
  <c r="O100" i="21" s="1"/>
  <c r="O101" i="21" s="1"/>
  <c r="O102" i="21" s="1"/>
  <c r="O103" i="21" s="1"/>
  <c r="O104" i="21" s="1"/>
  <c r="O105" i="21" s="1"/>
  <c r="O106" i="21" s="1"/>
  <c r="O107" i="21" s="1"/>
  <c r="O108" i="21" s="1"/>
  <c r="O109" i="21" s="1"/>
  <c r="O110" i="21" s="1"/>
  <c r="O111" i="21" s="1"/>
  <c r="O112" i="21" s="1"/>
  <c r="O113" i="21" s="1"/>
  <c r="O114" i="21" s="1"/>
  <c r="O115" i="21" s="1"/>
  <c r="O116" i="21" s="1"/>
  <c r="O117" i="21" s="1"/>
  <c r="O118" i="21" s="1"/>
  <c r="O119" i="21" s="1"/>
  <c r="O120" i="21" s="1"/>
  <c r="O121" i="21" s="1"/>
  <c r="O122" i="21" s="1"/>
  <c r="O123" i="21" s="1"/>
  <c r="O124" i="21" s="1"/>
  <c r="O125" i="21" s="1"/>
  <c r="O126" i="21" s="1"/>
  <c r="O127" i="21" s="1"/>
  <c r="O128" i="21" s="1"/>
  <c r="O129" i="21" s="1"/>
  <c r="O130" i="21" s="1"/>
  <c r="O131" i="21" s="1"/>
  <c r="O132" i="21" s="1"/>
  <c r="O133" i="21" s="1"/>
  <c r="O134" i="21" s="1"/>
  <c r="O135" i="21" s="1"/>
  <c r="O136" i="21" s="1"/>
  <c r="O137" i="21" s="1"/>
  <c r="O138" i="21" s="1"/>
  <c r="O139" i="21" s="1"/>
  <c r="O140" i="21" s="1"/>
  <c r="O141" i="21" s="1"/>
  <c r="O142" i="21" s="1"/>
  <c r="O143" i="21" s="1"/>
  <c r="O144" i="21" s="1"/>
  <c r="O145" i="21" s="1"/>
  <c r="O146" i="21" s="1"/>
  <c r="O147" i="21" s="1"/>
  <c r="O148" i="21" s="1"/>
  <c r="O149" i="21" s="1"/>
  <c r="O150" i="21" s="1"/>
  <c r="O151" i="21" s="1"/>
  <c r="O152" i="21" s="1"/>
  <c r="O153" i="21" s="1"/>
  <c r="O154" i="21" s="1"/>
  <c r="O155" i="21" s="1"/>
  <c r="O156" i="21" s="1"/>
  <c r="O157" i="21" s="1"/>
  <c r="O158" i="21" s="1"/>
  <c r="O159" i="21" s="1"/>
  <c r="O160" i="21" s="1"/>
  <c r="O161" i="21" s="1"/>
  <c r="O162" i="21" s="1"/>
  <c r="O163" i="21" s="1"/>
  <c r="O164" i="21" s="1"/>
  <c r="O165" i="21" s="1"/>
  <c r="O166" i="21" s="1"/>
  <c r="O167" i="21" s="1"/>
  <c r="O168" i="21" s="1"/>
  <c r="O169" i="21" s="1"/>
  <c r="O170" i="21" s="1"/>
  <c r="O171" i="21" s="1"/>
  <c r="O172" i="21" s="1"/>
  <c r="O173" i="21" s="1"/>
  <c r="O174" i="21" s="1"/>
  <c r="O175" i="21" s="1"/>
  <c r="O176" i="21" s="1"/>
  <c r="O177" i="21" s="1"/>
  <c r="O178" i="21" s="1"/>
  <c r="O179" i="21" s="1"/>
  <c r="O180" i="21" s="1"/>
  <c r="O181" i="21" s="1"/>
  <c r="O182" i="21" s="1"/>
  <c r="O183" i="21" s="1"/>
  <c r="O184" i="21" s="1"/>
  <c r="O185" i="21" s="1"/>
  <c r="O186" i="21" s="1"/>
  <c r="O187" i="21" s="1"/>
  <c r="O188" i="21" s="1"/>
  <c r="O189" i="21" s="1"/>
  <c r="O190" i="21" s="1"/>
  <c r="O191" i="21" s="1"/>
  <c r="O192" i="21" s="1"/>
  <c r="O193" i="21" s="1"/>
  <c r="O194" i="21" s="1"/>
  <c r="O195" i="21" s="1"/>
  <c r="O196" i="21" s="1"/>
  <c r="O197" i="21" s="1"/>
  <c r="O198" i="21" s="1"/>
  <c r="O199" i="21" s="1"/>
  <c r="O200" i="21" s="1"/>
  <c r="O201" i="21" s="1"/>
  <c r="O202" i="21" s="1"/>
  <c r="O203" i="21" s="1"/>
  <c r="O204" i="21" s="1"/>
  <c r="O205" i="21" s="1"/>
  <c r="O206" i="21" s="1"/>
  <c r="Q27" i="21"/>
  <c r="Q28" i="21" s="1"/>
  <c r="Q29" i="21" s="1"/>
  <c r="Q30" i="21" s="1"/>
  <c r="Q31" i="21" s="1"/>
  <c r="Q32" i="21" s="1"/>
  <c r="Q33" i="21" s="1"/>
  <c r="Q34" i="21" s="1"/>
  <c r="Q35" i="21" s="1"/>
  <c r="Q36" i="21" s="1"/>
  <c r="Q37" i="21" s="1"/>
  <c r="Q38" i="21" s="1"/>
  <c r="Q39" i="21" s="1"/>
  <c r="Q40" i="21" s="1"/>
  <c r="Q41" i="21" s="1"/>
  <c r="Q42" i="21" s="1"/>
  <c r="Q43" i="21" s="1"/>
  <c r="Q44" i="21" s="1"/>
  <c r="Q45" i="21" s="1"/>
  <c r="Q46" i="21" s="1"/>
  <c r="Q47" i="21" s="1"/>
  <c r="Q48" i="21" s="1"/>
  <c r="Q49" i="21" s="1"/>
  <c r="Q50" i="21" s="1"/>
  <c r="Q51" i="21" s="1"/>
  <c r="Q52" i="21" s="1"/>
  <c r="Q53" i="21" s="1"/>
  <c r="Q54" i="21" s="1"/>
  <c r="F24" i="21"/>
  <c r="F66" i="21"/>
  <c r="F23" i="21"/>
  <c r="F63" i="21"/>
  <c r="F20" i="21"/>
  <c r="F39" i="21"/>
  <c r="F44" i="21"/>
  <c r="D105" i="21"/>
  <c r="F36" i="21"/>
  <c r="F60" i="21"/>
  <c r="F29" i="21"/>
  <c r="O207" i="21"/>
  <c r="F35" i="21"/>
  <c r="F19" i="21"/>
  <c r="F47" i="21"/>
  <c r="F55" i="21"/>
  <c r="F57" i="21"/>
  <c r="C71" i="21"/>
  <c r="F25" i="21"/>
  <c r="F62" i="21"/>
  <c r="F64" i="21"/>
  <c r="F21" i="21"/>
  <c r="F26" i="21"/>
  <c r="F31" i="21"/>
  <c r="F34" i="21"/>
  <c r="F48" i="21"/>
  <c r="F50" i="21"/>
  <c r="F56" i="21"/>
  <c r="F58" i="21"/>
  <c r="F49" i="21"/>
  <c r="F51" i="21"/>
  <c r="F28" i="21"/>
  <c r="E70" i="21"/>
  <c r="F38" i="21"/>
  <c r="F40" i="21"/>
  <c r="F37" i="21"/>
  <c r="F46" i="21"/>
  <c r="F53" i="21"/>
  <c r="F32" i="21"/>
  <c r="F43" i="21"/>
  <c r="F52" i="21"/>
  <c r="F54" i="21"/>
  <c r="F67" i="21"/>
  <c r="F69" i="21"/>
  <c r="C70" i="21"/>
  <c r="F68" i="21"/>
  <c r="C53" i="19"/>
  <c r="C54" i="19"/>
  <c r="C51" i="19"/>
  <c r="E7" i="14"/>
  <c r="E4" i="14"/>
  <c r="E11" i="14"/>
  <c r="E10" i="14"/>
  <c r="E3" i="14"/>
  <c r="J4" i="14"/>
  <c r="E5" i="14"/>
  <c r="J5" i="14"/>
  <c r="E6" i="14"/>
  <c r="J6" i="14"/>
  <c r="J7" i="14"/>
  <c r="E8" i="14"/>
  <c r="J8" i="14"/>
  <c r="E9" i="14"/>
  <c r="J9" i="14"/>
  <c r="J10" i="14"/>
  <c r="J11" i="14"/>
  <c r="E12" i="14"/>
  <c r="J12" i="14"/>
  <c r="E13" i="14"/>
  <c r="J13" i="14"/>
  <c r="E14" i="14"/>
  <c r="J14" i="14"/>
  <c r="E15" i="14"/>
  <c r="J15" i="14"/>
  <c r="E16" i="14"/>
  <c r="J16" i="14"/>
  <c r="E17" i="14"/>
  <c r="J17" i="14"/>
  <c r="E18" i="14"/>
  <c r="J18" i="14"/>
  <c r="E19" i="14"/>
  <c r="J19" i="14"/>
  <c r="E20" i="14"/>
  <c r="J20" i="14"/>
  <c r="E21" i="14"/>
  <c r="J21" i="14"/>
  <c r="E22" i="14"/>
  <c r="J22" i="14"/>
  <c r="E23" i="14"/>
  <c r="J23" i="14"/>
  <c r="E24" i="14"/>
  <c r="J24" i="14"/>
  <c r="E25" i="14"/>
  <c r="J25" i="14"/>
  <c r="E26" i="14"/>
  <c r="J26" i="14"/>
  <c r="E27" i="14"/>
  <c r="J27" i="14"/>
  <c r="E28" i="14"/>
  <c r="J28" i="14"/>
  <c r="E29" i="14"/>
  <c r="J29" i="14"/>
  <c r="E30" i="14"/>
  <c r="J30" i="14"/>
  <c r="E31" i="14"/>
  <c r="J31" i="14"/>
  <c r="E32" i="14"/>
  <c r="J32" i="14"/>
  <c r="E33" i="14"/>
  <c r="J33" i="14"/>
  <c r="E34" i="14"/>
  <c r="J34" i="14"/>
  <c r="E35" i="14"/>
  <c r="J35" i="14"/>
  <c r="Q55" i="21" l="1"/>
  <c r="Q56" i="21" s="1"/>
  <c r="Q57" i="21" s="1"/>
  <c r="Q58" i="21" s="1"/>
  <c r="Q59" i="21" s="1"/>
  <c r="Q60" i="21" s="1"/>
  <c r="Q61" i="21" s="1"/>
  <c r="Q62" i="21" s="1"/>
  <c r="Q63" i="21" s="1"/>
  <c r="Q64" i="21" s="1"/>
  <c r="Q65" i="21" s="1"/>
  <c r="Q66" i="21" s="1"/>
  <c r="Q67" i="21" s="1"/>
  <c r="Q68" i="21" s="1"/>
  <c r="Q69" i="21" s="1"/>
  <c r="Q70" i="21" s="1"/>
  <c r="Q71" i="21" s="1"/>
  <c r="Q72" i="21" s="1"/>
  <c r="Q73" i="21" s="1"/>
  <c r="Q74" i="21" s="1"/>
  <c r="Q75" i="21" s="1"/>
  <c r="Q76" i="21" s="1"/>
  <c r="Q77" i="21" s="1"/>
  <c r="Q78" i="21" s="1"/>
  <c r="Q79" i="21" s="1"/>
  <c r="Q80" i="21" s="1"/>
  <c r="Q81" i="21" s="1"/>
  <c r="Q82" i="21" s="1"/>
  <c r="Q83" i="21" s="1"/>
  <c r="Q84" i="21" s="1"/>
  <c r="Q85" i="21" s="1"/>
  <c r="Q86" i="21" s="1"/>
  <c r="Q87" i="21" s="1"/>
  <c r="Q88" i="21" s="1"/>
  <c r="Q89" i="21" s="1"/>
  <c r="Q90" i="21" s="1"/>
  <c r="Q91" i="21" s="1"/>
  <c r="Q92" i="21" s="1"/>
  <c r="Q93" i="21" s="1"/>
  <c r="Q94" i="21" s="1"/>
  <c r="Q95" i="21" s="1"/>
  <c r="Q96" i="21" s="1"/>
  <c r="Q97" i="21" s="1"/>
  <c r="Q98" i="21" s="1"/>
  <c r="Q99" i="21" s="1"/>
  <c r="Q100" i="21" s="1"/>
  <c r="Q101" i="21" s="1"/>
  <c r="Q102" i="21" s="1"/>
  <c r="Q103" i="21" s="1"/>
  <c r="Q104" i="21" s="1"/>
  <c r="Q105" i="21" s="1"/>
  <c r="Q106" i="21" s="1"/>
  <c r="Q107" i="21" s="1"/>
  <c r="Q108" i="21" s="1"/>
  <c r="Q109" i="21" s="1"/>
  <c r="Q110" i="21" s="1"/>
  <c r="Q111" i="21" s="1"/>
  <c r="Q112" i="21" s="1"/>
  <c r="Q113" i="21" s="1"/>
  <c r="Q114" i="21" s="1"/>
  <c r="Q115" i="21" s="1"/>
  <c r="Q116" i="21" s="1"/>
  <c r="Q117" i="21" s="1"/>
  <c r="Q118" i="21" s="1"/>
  <c r="Q119" i="21" s="1"/>
  <c r="Q120" i="21" s="1"/>
  <c r="Q121" i="21" s="1"/>
  <c r="Q122" i="21" s="1"/>
  <c r="Q123" i="21" s="1"/>
  <c r="Q124" i="21" s="1"/>
  <c r="Q125" i="21" s="1"/>
  <c r="Q126" i="21" s="1"/>
  <c r="Q127" i="21" s="1"/>
  <c r="Q128" i="21" s="1"/>
  <c r="Q129" i="21" s="1"/>
  <c r="Q130" i="21" s="1"/>
  <c r="Q131" i="21" s="1"/>
  <c r="Q132" i="21" s="1"/>
  <c r="Q133" i="21" s="1"/>
  <c r="Q134" i="21" s="1"/>
  <c r="Q135" i="21" s="1"/>
  <c r="Q136" i="21" s="1"/>
  <c r="Q137" i="21" s="1"/>
  <c r="Q138" i="21" s="1"/>
  <c r="Q139" i="21" s="1"/>
  <c r="Q140" i="21" s="1"/>
  <c r="Q141" i="21" s="1"/>
  <c r="Q142" i="21" s="1"/>
  <c r="Q143" i="21" s="1"/>
  <c r="Q144" i="21" s="1"/>
  <c r="Q145" i="21" s="1"/>
  <c r="Q146" i="21" s="1"/>
  <c r="Q147" i="21" s="1"/>
  <c r="Q148" i="21" s="1"/>
  <c r="Q149" i="21" s="1"/>
  <c r="Q150" i="21" s="1"/>
  <c r="Q151" i="21" s="1"/>
  <c r="Q152" i="21" s="1"/>
  <c r="Q153" i="21" s="1"/>
  <c r="Q154" i="21" s="1"/>
  <c r="Q155" i="21" s="1"/>
  <c r="Q156" i="21" s="1"/>
  <c r="Q157" i="21" s="1"/>
  <c r="Q158" i="21" s="1"/>
  <c r="Q159" i="21" s="1"/>
  <c r="Q160" i="21" s="1"/>
  <c r="Q161" i="21" s="1"/>
  <c r="Q162" i="21" s="1"/>
  <c r="Q163" i="21" s="1"/>
  <c r="Q164" i="21" s="1"/>
  <c r="Q165" i="21" s="1"/>
  <c r="Q166" i="21" s="1"/>
  <c r="Q167" i="21" s="1"/>
  <c r="Q168" i="21" s="1"/>
  <c r="Q169" i="21" s="1"/>
  <c r="Q170" i="21" s="1"/>
  <c r="Q171" i="21" s="1"/>
  <c r="Q172" i="21" s="1"/>
  <c r="Q173" i="21" s="1"/>
  <c r="Q174" i="21" s="1"/>
  <c r="Q175" i="21" s="1"/>
  <c r="Q176" i="21" s="1"/>
  <c r="Q177" i="21" s="1"/>
  <c r="Q178" i="21" s="1"/>
  <c r="Q179" i="21" s="1"/>
  <c r="Q180" i="21" s="1"/>
  <c r="Q181" i="21" s="1"/>
  <c r="Q182" i="21" s="1"/>
  <c r="Q183" i="21" s="1"/>
  <c r="Q184" i="21" s="1"/>
  <c r="Q185" i="21" s="1"/>
  <c r="Q186" i="21" s="1"/>
  <c r="Q187" i="21" s="1"/>
  <c r="Q188" i="21" s="1"/>
  <c r="Q189" i="21" s="1"/>
  <c r="Q190" i="21" s="1"/>
  <c r="Q191" i="21" s="1"/>
  <c r="Q192" i="21" s="1"/>
  <c r="Q193" i="21" s="1"/>
  <c r="Q194" i="21" s="1"/>
  <c r="Q195" i="21" s="1"/>
  <c r="Q196" i="21" s="1"/>
  <c r="Q197" i="21" s="1"/>
  <c r="Q198" i="21" s="1"/>
  <c r="Q199" i="21" s="1"/>
  <c r="Q200" i="21" s="1"/>
  <c r="Q201" i="21" s="1"/>
  <c r="Q202" i="21" s="1"/>
  <c r="Q203" i="21" s="1"/>
  <c r="Q204" i="21" s="1"/>
  <c r="Q205" i="21" s="1"/>
  <c r="Q206" i="21" s="1"/>
  <c r="F70" i="21"/>
  <c r="F71" i="21"/>
  <c r="Q7" i="19"/>
  <c r="Q8" i="19" s="1"/>
  <c r="Q9" i="19" s="1"/>
  <c r="Q10" i="19" s="1"/>
  <c r="Q11" i="19" s="1"/>
  <c r="Q12" i="19" s="1"/>
  <c r="Q13" i="19" s="1"/>
  <c r="Q14" i="19" s="1"/>
  <c r="Q15" i="19" s="1"/>
  <c r="Q16" i="19" s="1"/>
  <c r="Q17" i="19" s="1"/>
  <c r="Q18" i="19" s="1"/>
  <c r="Q19" i="19" s="1"/>
  <c r="Q20" i="19" s="1"/>
  <c r="Q21" i="19" s="1"/>
  <c r="Q22" i="19" s="1"/>
  <c r="Q23" i="19" s="1"/>
  <c r="Q24" i="19" s="1"/>
  <c r="Q25" i="19" s="1"/>
  <c r="Q26" i="19" s="1"/>
  <c r="Q27" i="19" s="1"/>
  <c r="Q28" i="19" s="1"/>
  <c r="Q29" i="19" s="1"/>
  <c r="Q30" i="19" s="1"/>
  <c r="Q31" i="19" s="1"/>
  <c r="Q32" i="19" s="1"/>
  <c r="Q33" i="19" s="1"/>
  <c r="Q34" i="19" s="1"/>
  <c r="Q35" i="19" s="1"/>
  <c r="Q36" i="19" s="1"/>
  <c r="Q37" i="19" s="1"/>
  <c r="Q38" i="19" s="1"/>
  <c r="Q39" i="19" s="1"/>
  <c r="Q40" i="19" s="1"/>
  <c r="Q41" i="19" s="1"/>
  <c r="Q42" i="19" s="1"/>
  <c r="Q43" i="19" s="1"/>
  <c r="Q44" i="19" s="1"/>
  <c r="Q45" i="19" s="1"/>
  <c r="Q46" i="19" s="1"/>
  <c r="Q47" i="19" s="1"/>
  <c r="Q48" i="19" s="1"/>
  <c r="Q49" i="19" s="1"/>
  <c r="Q50" i="19" s="1"/>
  <c r="Q51" i="19" s="1"/>
  <c r="Q52" i="19" s="1"/>
  <c r="Q53" i="19" s="1"/>
  <c r="Q54" i="19" s="1"/>
  <c r="Q55" i="19" s="1"/>
  <c r="Q56" i="19" s="1"/>
  <c r="Q57" i="19" s="1"/>
  <c r="Q58" i="19" s="1"/>
  <c r="Q59" i="19" s="1"/>
  <c r="Q60" i="19" s="1"/>
  <c r="Q61" i="19" s="1"/>
  <c r="Q62" i="19" s="1"/>
  <c r="Q63" i="19" s="1"/>
  <c r="Q64" i="19" s="1"/>
  <c r="Q65" i="19" s="1"/>
  <c r="Q66" i="19" s="1"/>
  <c r="Q67" i="19" s="1"/>
  <c r="Q68" i="19" s="1"/>
  <c r="Q69" i="19" s="1"/>
  <c r="Q70" i="19" s="1"/>
  <c r="Q71" i="19" s="1"/>
  <c r="Q72" i="19" s="1"/>
  <c r="Q73" i="19" s="1"/>
  <c r="Q74" i="19" s="1"/>
  <c r="Q75" i="19" s="1"/>
  <c r="Q76" i="19" s="1"/>
  <c r="Q77" i="19" s="1"/>
  <c r="Q78" i="19" s="1"/>
  <c r="Q79" i="19" s="1"/>
  <c r="Q80" i="19" s="1"/>
  <c r="Q81" i="19" s="1"/>
  <c r="Q82" i="19" s="1"/>
  <c r="Q83" i="19" s="1"/>
  <c r="Q84" i="19" s="1"/>
  <c r="Q85" i="19" s="1"/>
  <c r="Q86" i="19" s="1"/>
  <c r="Q87" i="19" s="1"/>
  <c r="Q88" i="19" s="1"/>
  <c r="Q89" i="19" s="1"/>
  <c r="Q90" i="19" s="1"/>
  <c r="Q91" i="19" s="1"/>
  <c r="Q92" i="19" s="1"/>
  <c r="Q93" i="19" s="1"/>
  <c r="Q94" i="19" s="1"/>
  <c r="Q95" i="19" s="1"/>
  <c r="Q96" i="19" s="1"/>
  <c r="Q97" i="19" s="1"/>
  <c r="Q98" i="19" s="1"/>
  <c r="Q99" i="19" s="1"/>
  <c r="Q100" i="19" s="1"/>
  <c r="Q101" i="19" s="1"/>
  <c r="Q102" i="19" s="1"/>
  <c r="Q103" i="19" s="1"/>
  <c r="Q104" i="19" s="1"/>
  <c r="Q105" i="19" s="1"/>
  <c r="Q106" i="19" s="1"/>
  <c r="Q107" i="19" s="1"/>
  <c r="Q108" i="19" s="1"/>
  <c r="Q109" i="19" s="1"/>
  <c r="Q110" i="19" s="1"/>
  <c r="Q111" i="19" s="1"/>
  <c r="Q112" i="19" s="1"/>
  <c r="Q113" i="19" s="1"/>
  <c r="Q114" i="19" s="1"/>
  <c r="Q115" i="19" s="1"/>
  <c r="Q116" i="19" s="1"/>
  <c r="Q117" i="19" s="1"/>
  <c r="Q118" i="19" s="1"/>
  <c r="Q119" i="19" s="1"/>
  <c r="Q120" i="19" s="1"/>
  <c r="Q121" i="19" s="1"/>
  <c r="Q122" i="19" s="1"/>
  <c r="Q123" i="19" s="1"/>
  <c r="Q124" i="19" s="1"/>
  <c r="Q125" i="19" s="1"/>
  <c r="Q126" i="19" s="1"/>
  <c r="Q127" i="19" s="1"/>
  <c r="Q128" i="19" s="1"/>
  <c r="Q129" i="19" s="1"/>
  <c r="Q130" i="19" s="1"/>
  <c r="Q131" i="19" s="1"/>
  <c r="Q132" i="19" s="1"/>
  <c r="Q133" i="19" s="1"/>
  <c r="Q134" i="19" s="1"/>
  <c r="Q135" i="19" s="1"/>
  <c r="Q136" i="19" s="1"/>
  <c r="Q137" i="19" s="1"/>
  <c r="Q138" i="19" s="1"/>
  <c r="Q139" i="19" s="1"/>
  <c r="Q140" i="19" s="1"/>
  <c r="Q141" i="19" s="1"/>
  <c r="Q142" i="19" s="1"/>
  <c r="Q143" i="19" s="1"/>
  <c r="Q144" i="19" s="1"/>
  <c r="Q145" i="19" s="1"/>
  <c r="Q146" i="19" s="1"/>
  <c r="Q147" i="19" s="1"/>
  <c r="Q148" i="19" s="1"/>
  <c r="Q149" i="19" s="1"/>
  <c r="Q150" i="19" s="1"/>
  <c r="Q151" i="19" s="1"/>
  <c r="E76" i="23" l="1"/>
  <c r="Q152" i="19"/>
  <c r="Q153" i="19" s="1"/>
  <c r="Q154" i="19" s="1"/>
  <c r="Q155" i="19" s="1"/>
  <c r="Q156" i="19" s="1"/>
  <c r="Q157" i="19" s="1"/>
  <c r="Q158" i="19" s="1"/>
  <c r="Q159" i="19" s="1"/>
  <c r="Q160" i="19" s="1"/>
  <c r="Q161" i="19" s="1"/>
  <c r="Q162" i="19" s="1"/>
  <c r="Q163" i="19" s="1"/>
  <c r="Q164" i="19" s="1"/>
  <c r="Q165" i="19" s="1"/>
  <c r="Q166" i="19" s="1"/>
  <c r="Q167" i="19" s="1"/>
  <c r="Q168" i="19" s="1"/>
  <c r="Q169" i="19" s="1"/>
  <c r="Q170" i="19" s="1"/>
  <c r="Q171" i="19" s="1"/>
  <c r="Q172" i="19" s="1"/>
  <c r="Q173" i="19" s="1"/>
  <c r="Q174" i="19" s="1"/>
  <c r="Q175" i="19" s="1"/>
  <c r="Q176" i="19" s="1"/>
  <c r="Q177" i="19" s="1"/>
  <c r="Q178" i="19" s="1"/>
  <c r="Q179" i="19" s="1"/>
  <c r="Q180" i="19" s="1"/>
  <c r="Q181" i="19" s="1"/>
  <c r="Q182" i="19" s="1"/>
  <c r="Q183" i="19" s="1"/>
  <c r="Q184" i="19" s="1"/>
  <c r="Q185" i="19" s="1"/>
  <c r="Q186" i="19" s="1"/>
  <c r="Q187" i="19" s="1"/>
  <c r="Q188" i="19" s="1"/>
  <c r="Q189" i="19" s="1"/>
  <c r="Q190" i="19" s="1"/>
  <c r="Q191" i="19" s="1"/>
  <c r="Q192" i="19" s="1"/>
  <c r="Q193" i="19" s="1"/>
  <c r="Q194" i="19" s="1"/>
  <c r="Q195" i="19" s="1"/>
  <c r="Q196" i="19" s="1"/>
  <c r="Q197" i="19" s="1"/>
  <c r="Q198" i="19" s="1"/>
  <c r="Q199" i="19" s="1"/>
  <c r="Q200" i="19" s="1"/>
  <c r="Q201" i="19" s="1"/>
  <c r="Q202" i="19" s="1"/>
  <c r="Q203" i="19" s="1"/>
  <c r="Q204" i="19" s="1"/>
  <c r="Q205" i="19" s="1"/>
  <c r="Q206" i="19" s="1"/>
  <c r="D101" i="19"/>
  <c r="D102" i="19"/>
  <c r="D103" i="19"/>
  <c r="F76" i="23" l="1"/>
  <c r="C76" i="23"/>
  <c r="C78" i="23" s="1"/>
  <c r="D104" i="19"/>
  <c r="D66" i="19"/>
  <c r="E18" i="19"/>
  <c r="E19" i="19"/>
  <c r="E20" i="19"/>
  <c r="E21" i="19"/>
  <c r="E22" i="19"/>
  <c r="E23" i="19"/>
  <c r="E24" i="19"/>
  <c r="E25" i="19"/>
  <c r="E27" i="19"/>
  <c r="E28" i="19"/>
  <c r="E30" i="19"/>
  <c r="E31" i="19"/>
  <c r="E32" i="19"/>
  <c r="E33" i="19"/>
  <c r="E34" i="19"/>
  <c r="E35" i="19"/>
  <c r="E36" i="19"/>
  <c r="E37" i="19"/>
  <c r="E38" i="19"/>
  <c r="E41" i="19"/>
  <c r="E42" i="19"/>
  <c r="E44" i="19"/>
  <c r="E45" i="19"/>
  <c r="E46" i="19"/>
  <c r="E47" i="19"/>
  <c r="E48" i="19"/>
  <c r="E49" i="19"/>
  <c r="E50" i="19"/>
  <c r="E51" i="19"/>
  <c r="E52" i="19"/>
  <c r="E53" i="19"/>
  <c r="E54" i="19"/>
  <c r="E55" i="19"/>
  <c r="E56" i="19"/>
  <c r="E58" i="19"/>
  <c r="E59" i="19"/>
  <c r="E60" i="19"/>
  <c r="E61" i="19"/>
  <c r="E62" i="19"/>
  <c r="E63" i="19"/>
  <c r="E64" i="19"/>
  <c r="E65" i="19"/>
  <c r="E66" i="19" l="1"/>
  <c r="F18" i="19"/>
  <c r="M41" i="14"/>
  <c r="M43" i="14" s="1"/>
  <c r="G54" i="14"/>
  <c r="G36" i="14"/>
  <c r="E63" i="14"/>
  <c r="M49" i="14"/>
  <c r="M48" i="14"/>
  <c r="I40" i="14"/>
  <c r="J40" i="14" s="1"/>
  <c r="J53" i="14"/>
  <c r="J52" i="14"/>
  <c r="J51" i="14"/>
  <c r="J50" i="14"/>
  <c r="J49" i="14"/>
  <c r="J48" i="14"/>
  <c r="J47" i="14"/>
  <c r="J46" i="14"/>
  <c r="J45" i="14"/>
  <c r="J44" i="14"/>
  <c r="J43" i="14"/>
  <c r="J42" i="14"/>
  <c r="J41" i="14"/>
  <c r="J39" i="14"/>
  <c r="J38" i="14"/>
  <c r="E53" i="14"/>
  <c r="E52" i="14"/>
  <c r="E51" i="14"/>
  <c r="E50" i="14"/>
  <c r="E49" i="14"/>
  <c r="E48" i="14"/>
  <c r="E47" i="14"/>
  <c r="E46" i="14"/>
  <c r="E45" i="14"/>
  <c r="E44" i="14"/>
  <c r="E43" i="14"/>
  <c r="E42" i="14"/>
  <c r="E41" i="14"/>
  <c r="E39" i="14"/>
  <c r="E38" i="14"/>
  <c r="D54" i="14"/>
  <c r="D36" i="14"/>
  <c r="M50" i="14" l="1"/>
  <c r="D56" i="14"/>
  <c r="D60" i="14" s="1"/>
  <c r="I60" i="14" s="1"/>
  <c r="I3" i="14" s="1"/>
  <c r="J36" i="14"/>
  <c r="J54" i="14"/>
  <c r="E54" i="14"/>
  <c r="J56" i="14" l="1"/>
  <c r="L119" i="20"/>
  <c r="L122" i="20" l="1"/>
  <c r="R118" i="20"/>
  <c r="M83" i="20"/>
  <c r="M82" i="20"/>
  <c r="C52" i="20" s="1"/>
  <c r="E52" i="20" s="1"/>
  <c r="D67" i="20"/>
  <c r="D66" i="20"/>
  <c r="C65" i="20"/>
  <c r="E65" i="20" s="1"/>
  <c r="C64" i="20"/>
  <c r="E64" i="20" s="1"/>
  <c r="C63" i="20"/>
  <c r="E63" i="20" s="1"/>
  <c r="C62" i="20"/>
  <c r="E62" i="20" s="1"/>
  <c r="C61" i="20"/>
  <c r="E61" i="20" s="1"/>
  <c r="C60" i="20"/>
  <c r="E60" i="20" s="1"/>
  <c r="M59" i="20"/>
  <c r="C59" i="20"/>
  <c r="E59" i="20" s="1"/>
  <c r="C58" i="20"/>
  <c r="E58" i="20" s="1"/>
  <c r="C57" i="20"/>
  <c r="E57" i="20" s="1"/>
  <c r="C56" i="20"/>
  <c r="E56" i="20" s="1"/>
  <c r="C55" i="20"/>
  <c r="E55" i="20" s="1"/>
  <c r="C54" i="20"/>
  <c r="E54" i="20" s="1"/>
  <c r="C53" i="20"/>
  <c r="E53" i="20" s="1"/>
  <c r="C51" i="20"/>
  <c r="C50" i="20"/>
  <c r="E50" i="20" s="1"/>
  <c r="C49" i="20"/>
  <c r="E49" i="20" s="1"/>
  <c r="C48" i="20"/>
  <c r="E48" i="20" s="1"/>
  <c r="M47" i="20"/>
  <c r="C47" i="20"/>
  <c r="E47" i="20" s="1"/>
  <c r="C46" i="20"/>
  <c r="E46" i="20" s="1"/>
  <c r="M45" i="20"/>
  <c r="M204" i="20" s="1"/>
  <c r="C45" i="20"/>
  <c r="E45" i="20" s="1"/>
  <c r="C44" i="20"/>
  <c r="E44" i="20" s="1"/>
  <c r="C43" i="20"/>
  <c r="E43" i="20" s="1"/>
  <c r="C42" i="20"/>
  <c r="E42" i="20" s="1"/>
  <c r="C41" i="20"/>
  <c r="E41" i="20" s="1"/>
  <c r="C40" i="20"/>
  <c r="E40" i="20" s="1"/>
  <c r="C39" i="20"/>
  <c r="E39" i="20" s="1"/>
  <c r="C38" i="20"/>
  <c r="E38" i="20" s="1"/>
  <c r="C37" i="20"/>
  <c r="E37" i="20" s="1"/>
  <c r="C36" i="20"/>
  <c r="E36" i="20" s="1"/>
  <c r="C35" i="20"/>
  <c r="E35" i="20" s="1"/>
  <c r="C34" i="20"/>
  <c r="E34" i="20" s="1"/>
  <c r="C33" i="20"/>
  <c r="E33" i="20" s="1"/>
  <c r="C32" i="20"/>
  <c r="E32" i="20" s="1"/>
  <c r="C31" i="20"/>
  <c r="E31" i="20" s="1"/>
  <c r="C30" i="20"/>
  <c r="E30" i="20" s="1"/>
  <c r="C29" i="20"/>
  <c r="E29" i="20" s="1"/>
  <c r="C28" i="20"/>
  <c r="E28" i="20" s="1"/>
  <c r="C27" i="20"/>
  <c r="E27" i="20" s="1"/>
  <c r="C26" i="20"/>
  <c r="E26" i="20" s="1"/>
  <c r="C25" i="20"/>
  <c r="E25" i="20" s="1"/>
  <c r="C24" i="20"/>
  <c r="E24" i="20" s="1"/>
  <c r="C23" i="20"/>
  <c r="E23" i="20" s="1"/>
  <c r="C22" i="20"/>
  <c r="E22" i="20" s="1"/>
  <c r="C21" i="20"/>
  <c r="E21" i="20" s="1"/>
  <c r="C20" i="20"/>
  <c r="E20" i="20" s="1"/>
  <c r="E18" i="20"/>
  <c r="E14" i="20"/>
  <c r="P7" i="20"/>
  <c r="P8" i="20" s="1"/>
  <c r="P9" i="20" s="1"/>
  <c r="P10" i="20" s="1"/>
  <c r="P11" i="20" s="1"/>
  <c r="P12" i="20" s="1"/>
  <c r="P13" i="20" s="1"/>
  <c r="P14" i="20" s="1"/>
  <c r="P15" i="20" s="1"/>
  <c r="P16" i="20" s="1"/>
  <c r="P17" i="20" s="1"/>
  <c r="P18" i="20" s="1"/>
  <c r="P19" i="20" s="1"/>
  <c r="P20" i="20" s="1"/>
  <c r="P21" i="20" s="1"/>
  <c r="P22" i="20" s="1"/>
  <c r="P23" i="20" s="1"/>
  <c r="P24" i="20" s="1"/>
  <c r="P25" i="20" s="1"/>
  <c r="P26" i="20" s="1"/>
  <c r="P27" i="20" s="1"/>
  <c r="P28" i="20" s="1"/>
  <c r="P29" i="20" s="1"/>
  <c r="P30" i="20" s="1"/>
  <c r="P31" i="20" s="1"/>
  <c r="P32" i="20" s="1"/>
  <c r="P33" i="20" s="1"/>
  <c r="P34" i="20" s="1"/>
  <c r="P35" i="20" s="1"/>
  <c r="P36" i="20" s="1"/>
  <c r="P37" i="20" s="1"/>
  <c r="P38" i="20" s="1"/>
  <c r="P39" i="20" s="1"/>
  <c r="P40" i="20" s="1"/>
  <c r="P41" i="20" s="1"/>
  <c r="P42" i="20" s="1"/>
  <c r="P43" i="20" s="1"/>
  <c r="P44" i="20" s="1"/>
  <c r="N4" i="20"/>
  <c r="N5" i="20" s="1"/>
  <c r="N6" i="20" s="1"/>
  <c r="N7" i="20" s="1"/>
  <c r="N8" i="20" s="1"/>
  <c r="N9" i="20" s="1"/>
  <c r="N10" i="20" s="1"/>
  <c r="N11" i="20" s="1"/>
  <c r="N12" i="20" s="1"/>
  <c r="N13" i="20" s="1"/>
  <c r="N14" i="20" s="1"/>
  <c r="N15" i="20" s="1"/>
  <c r="N16" i="20" s="1"/>
  <c r="N17" i="20" s="1"/>
  <c r="N18" i="20" s="1"/>
  <c r="N19" i="20" s="1"/>
  <c r="N20" i="20" s="1"/>
  <c r="N21" i="20" s="1"/>
  <c r="N22" i="20" s="1"/>
  <c r="N23" i="20" s="1"/>
  <c r="N24" i="20" s="1"/>
  <c r="N25" i="20" s="1"/>
  <c r="N26" i="20" s="1"/>
  <c r="N27" i="20" s="1"/>
  <c r="N28" i="20" s="1"/>
  <c r="N29" i="20" s="1"/>
  <c r="N30" i="20" s="1"/>
  <c r="N31" i="20" s="1"/>
  <c r="N32" i="20" s="1"/>
  <c r="N33" i="20" s="1"/>
  <c r="N34" i="20" s="1"/>
  <c r="N35" i="20" s="1"/>
  <c r="N36" i="20" s="1"/>
  <c r="N37" i="20" s="1"/>
  <c r="N38" i="20" s="1"/>
  <c r="N39" i="20" s="1"/>
  <c r="N40" i="20" s="1"/>
  <c r="N41" i="20" s="1"/>
  <c r="N42" i="20" s="1"/>
  <c r="N43" i="20" s="1"/>
  <c r="N44" i="20" s="1"/>
  <c r="M1" i="20"/>
  <c r="C19" i="20" l="1"/>
  <c r="C66" i="20" s="1"/>
  <c r="P45" i="20"/>
  <c r="P46" i="20" s="1"/>
  <c r="P47" i="20" s="1"/>
  <c r="P48" i="20" s="1"/>
  <c r="P49" i="20" s="1"/>
  <c r="P50" i="20" s="1"/>
  <c r="P51" i="20" s="1"/>
  <c r="P52" i="20" s="1"/>
  <c r="P53" i="20" s="1"/>
  <c r="P54" i="20" s="1"/>
  <c r="P55" i="20" s="1"/>
  <c r="P56" i="20" s="1"/>
  <c r="P57" i="20" s="1"/>
  <c r="P58" i="20" s="1"/>
  <c r="P59" i="20" s="1"/>
  <c r="P60" i="20" s="1"/>
  <c r="P61" i="20" s="1"/>
  <c r="P62" i="20" s="1"/>
  <c r="P63" i="20" s="1"/>
  <c r="P64" i="20" s="1"/>
  <c r="P65" i="20" s="1"/>
  <c r="P66" i="20" s="1"/>
  <c r="P67" i="20" s="1"/>
  <c r="P68" i="20" s="1"/>
  <c r="P69" i="20" s="1"/>
  <c r="P70" i="20" s="1"/>
  <c r="P71" i="20" s="1"/>
  <c r="P72" i="20" s="1"/>
  <c r="P73" i="20" s="1"/>
  <c r="P74" i="20" s="1"/>
  <c r="P75" i="20" s="1"/>
  <c r="P76" i="20" s="1"/>
  <c r="P77" i="20" s="1"/>
  <c r="P78" i="20" s="1"/>
  <c r="P79" i="20" s="1"/>
  <c r="P80" i="20" s="1"/>
  <c r="P81" i="20" s="1"/>
  <c r="P82" i="20" s="1"/>
  <c r="P83" i="20" s="1"/>
  <c r="P84" i="20" s="1"/>
  <c r="P85" i="20" s="1"/>
  <c r="P86" i="20" s="1"/>
  <c r="P87" i="20" s="1"/>
  <c r="P88" i="20" s="1"/>
  <c r="P89" i="20" s="1"/>
  <c r="P90" i="20" s="1"/>
  <c r="P91" i="20" s="1"/>
  <c r="P92" i="20" s="1"/>
  <c r="P93" i="20" s="1"/>
  <c r="P94" i="20" s="1"/>
  <c r="P95" i="20" s="1"/>
  <c r="P96" i="20" s="1"/>
  <c r="P97" i="20" s="1"/>
  <c r="P98" i="20" s="1"/>
  <c r="P99" i="20" s="1"/>
  <c r="P100" i="20" s="1"/>
  <c r="P101" i="20" s="1"/>
  <c r="P102" i="20" s="1"/>
  <c r="P103" i="20" s="1"/>
  <c r="P104" i="20" s="1"/>
  <c r="P105" i="20" s="1"/>
  <c r="P106" i="20" s="1"/>
  <c r="P107" i="20" s="1"/>
  <c r="P108" i="20" s="1"/>
  <c r="P109" i="20" s="1"/>
  <c r="P110" i="20" s="1"/>
  <c r="P111" i="20" s="1"/>
  <c r="P112" i="20" s="1"/>
  <c r="P113" i="20" s="1"/>
  <c r="P114" i="20" s="1"/>
  <c r="P115" i="20" s="1"/>
  <c r="P116" i="20" s="1"/>
  <c r="P117" i="20" s="1"/>
  <c r="P118" i="20" s="1"/>
  <c r="P119" i="20" s="1"/>
  <c r="P120" i="20" s="1"/>
  <c r="P121" i="20" s="1"/>
  <c r="P122" i="20" s="1"/>
  <c r="P123" i="20" s="1"/>
  <c r="P124" i="20" s="1"/>
  <c r="P125" i="20" s="1"/>
  <c r="P126" i="20" s="1"/>
  <c r="P127" i="20" s="1"/>
  <c r="P128" i="20" s="1"/>
  <c r="P129" i="20" s="1"/>
  <c r="P130" i="20" s="1"/>
  <c r="P131" i="20" s="1"/>
  <c r="P132" i="20" s="1"/>
  <c r="P133" i="20" s="1"/>
  <c r="P134" i="20" s="1"/>
  <c r="P135" i="20" s="1"/>
  <c r="P136" i="20" s="1"/>
  <c r="P137" i="20" s="1"/>
  <c r="P138" i="20" s="1"/>
  <c r="P139" i="20" s="1"/>
  <c r="P140" i="20" s="1"/>
  <c r="P141" i="20" s="1"/>
  <c r="P142" i="20" s="1"/>
  <c r="P143" i="20" s="1"/>
  <c r="P144" i="20" s="1"/>
  <c r="P145" i="20" s="1"/>
  <c r="P146" i="20" s="1"/>
  <c r="P147" i="20" s="1"/>
  <c r="P148" i="20" s="1"/>
  <c r="P149" i="20" s="1"/>
  <c r="P150" i="20" s="1"/>
  <c r="P151" i="20" s="1"/>
  <c r="P152" i="20" s="1"/>
  <c r="P153" i="20" s="1"/>
  <c r="P154" i="20" s="1"/>
  <c r="P155" i="20" s="1"/>
  <c r="P156" i="20" s="1"/>
  <c r="P157" i="20" s="1"/>
  <c r="P158" i="20" s="1"/>
  <c r="P159" i="20" s="1"/>
  <c r="P160" i="20" s="1"/>
  <c r="P161" i="20" s="1"/>
  <c r="P162" i="20" s="1"/>
  <c r="P163" i="20" s="1"/>
  <c r="P164" i="20" s="1"/>
  <c r="P165" i="20" s="1"/>
  <c r="P166" i="20" s="1"/>
  <c r="P167" i="20" s="1"/>
  <c r="P168" i="20" s="1"/>
  <c r="P169" i="20" s="1"/>
  <c r="P170" i="20" s="1"/>
  <c r="P171" i="20" s="1"/>
  <c r="P172" i="20" s="1"/>
  <c r="P173" i="20" s="1"/>
  <c r="P174" i="20" s="1"/>
  <c r="P175" i="20" s="1"/>
  <c r="P176" i="20" s="1"/>
  <c r="P177" i="20" s="1"/>
  <c r="P178" i="20" s="1"/>
  <c r="P179" i="20" s="1"/>
  <c r="P180" i="20" s="1"/>
  <c r="P181" i="20" s="1"/>
  <c r="P182" i="20" s="1"/>
  <c r="P183" i="20" s="1"/>
  <c r="P184" i="20" s="1"/>
  <c r="P185" i="20" s="1"/>
  <c r="P186" i="20" s="1"/>
  <c r="P187" i="20" s="1"/>
  <c r="P188" i="20" s="1"/>
  <c r="P189" i="20" s="1"/>
  <c r="P190" i="20" s="1"/>
  <c r="P191" i="20" s="1"/>
  <c r="P192" i="20" s="1"/>
  <c r="P193" i="20" s="1"/>
  <c r="P194" i="20" s="1"/>
  <c r="P195" i="20" s="1"/>
  <c r="P196" i="20" s="1"/>
  <c r="P197" i="20" s="1"/>
  <c r="P198" i="20" s="1"/>
  <c r="P199" i="20" s="1"/>
  <c r="P200" i="20" s="1"/>
  <c r="P201" i="20" s="1"/>
  <c r="P202" i="20" s="1"/>
  <c r="P203" i="20" s="1"/>
  <c r="N45" i="20"/>
  <c r="N46" i="20" s="1"/>
  <c r="N47" i="20" s="1"/>
  <c r="N48" i="20" s="1"/>
  <c r="N49" i="20" s="1"/>
  <c r="N50" i="20" s="1"/>
  <c r="N51" i="20" s="1"/>
  <c r="N52" i="20" s="1"/>
  <c r="N53" i="20" s="1"/>
  <c r="N54" i="20" s="1"/>
  <c r="N55" i="20" s="1"/>
  <c r="N56" i="20" s="1"/>
  <c r="N57" i="20" s="1"/>
  <c r="N58" i="20" s="1"/>
  <c r="N59" i="20" s="1"/>
  <c r="N60" i="20" s="1"/>
  <c r="N61" i="20" s="1"/>
  <c r="N62" i="20" s="1"/>
  <c r="N63" i="20" s="1"/>
  <c r="N64" i="20" s="1"/>
  <c r="N65" i="20" s="1"/>
  <c r="N66" i="20" s="1"/>
  <c r="N67" i="20" s="1"/>
  <c r="N68" i="20" s="1"/>
  <c r="N69" i="20" s="1"/>
  <c r="N70" i="20" s="1"/>
  <c r="N71" i="20" s="1"/>
  <c r="N72" i="20" s="1"/>
  <c r="N73" i="20" s="1"/>
  <c r="N74" i="20" s="1"/>
  <c r="N75" i="20" s="1"/>
  <c r="N76" i="20" s="1"/>
  <c r="N77" i="20" s="1"/>
  <c r="N78" i="20" s="1"/>
  <c r="N79" i="20" s="1"/>
  <c r="N80" i="20" s="1"/>
  <c r="N81" i="20" s="1"/>
  <c r="N82" i="20" s="1"/>
  <c r="N83" i="20" s="1"/>
  <c r="N84" i="20" s="1"/>
  <c r="N85" i="20" s="1"/>
  <c r="N86" i="20" s="1"/>
  <c r="N87" i="20" s="1"/>
  <c r="N88" i="20" s="1"/>
  <c r="N89" i="20" s="1"/>
  <c r="N90" i="20" s="1"/>
  <c r="N91" i="20" s="1"/>
  <c r="N92" i="20" s="1"/>
  <c r="N93" i="20" s="1"/>
  <c r="N94" i="20" s="1"/>
  <c r="N95" i="20" s="1"/>
  <c r="N96" i="20" s="1"/>
  <c r="N97" i="20" s="1"/>
  <c r="N98" i="20" s="1"/>
  <c r="N99" i="20" s="1"/>
  <c r="N100" i="20" s="1"/>
  <c r="N101" i="20" s="1"/>
  <c r="N102" i="20" s="1"/>
  <c r="N103" i="20" s="1"/>
  <c r="N104" i="20" s="1"/>
  <c r="N105" i="20" s="1"/>
  <c r="N106" i="20" s="1"/>
  <c r="N107" i="20" s="1"/>
  <c r="N108" i="20" s="1"/>
  <c r="N109" i="20" s="1"/>
  <c r="N110" i="20" s="1"/>
  <c r="N111" i="20" s="1"/>
  <c r="N112" i="20" s="1"/>
  <c r="N113" i="20" s="1"/>
  <c r="N114" i="20" s="1"/>
  <c r="N115" i="20" s="1"/>
  <c r="N116" i="20" s="1"/>
  <c r="N117" i="20" s="1"/>
  <c r="N118" i="20" s="1"/>
  <c r="N119" i="20" s="1"/>
  <c r="N120" i="20" s="1"/>
  <c r="N121" i="20" s="1"/>
  <c r="N122" i="20" s="1"/>
  <c r="N123" i="20" s="1"/>
  <c r="N124" i="20" s="1"/>
  <c r="N125" i="20" s="1"/>
  <c r="N126" i="20" s="1"/>
  <c r="N127" i="20" s="1"/>
  <c r="N128" i="20" s="1"/>
  <c r="N129" i="20" s="1"/>
  <c r="N130" i="20" s="1"/>
  <c r="N131" i="20" s="1"/>
  <c r="N132" i="20" s="1"/>
  <c r="N133" i="20" s="1"/>
  <c r="N134" i="20" s="1"/>
  <c r="N135" i="20" s="1"/>
  <c r="N136" i="20" s="1"/>
  <c r="N137" i="20" s="1"/>
  <c r="N138" i="20" s="1"/>
  <c r="N139" i="20" s="1"/>
  <c r="N140" i="20" s="1"/>
  <c r="N141" i="20" s="1"/>
  <c r="N142" i="20" s="1"/>
  <c r="N143" i="20" s="1"/>
  <c r="N144" i="20" s="1"/>
  <c r="N145" i="20" s="1"/>
  <c r="N146" i="20" s="1"/>
  <c r="N147" i="20" s="1"/>
  <c r="N148" i="20" s="1"/>
  <c r="N149" i="20" s="1"/>
  <c r="N150" i="20" s="1"/>
  <c r="N151" i="20" s="1"/>
  <c r="N152" i="20" s="1"/>
  <c r="N153" i="20" s="1"/>
  <c r="N154" i="20" s="1"/>
  <c r="N155" i="20" s="1"/>
  <c r="N156" i="20" s="1"/>
  <c r="N157" i="20" s="1"/>
  <c r="N158" i="20" s="1"/>
  <c r="N159" i="20" s="1"/>
  <c r="N160" i="20" s="1"/>
  <c r="N161" i="20" s="1"/>
  <c r="N162" i="20" s="1"/>
  <c r="N163" i="20" s="1"/>
  <c r="N164" i="20" s="1"/>
  <c r="N165" i="20" s="1"/>
  <c r="N166" i="20" s="1"/>
  <c r="N167" i="20" s="1"/>
  <c r="N168" i="20" s="1"/>
  <c r="N169" i="20" s="1"/>
  <c r="N170" i="20" s="1"/>
  <c r="N171" i="20" s="1"/>
  <c r="N172" i="20" s="1"/>
  <c r="N173" i="20" s="1"/>
  <c r="N174" i="20" s="1"/>
  <c r="N175" i="20" s="1"/>
  <c r="N176" i="20" s="1"/>
  <c r="N177" i="20" s="1"/>
  <c r="N178" i="20" s="1"/>
  <c r="N179" i="20" s="1"/>
  <c r="N180" i="20" s="1"/>
  <c r="N181" i="20" s="1"/>
  <c r="N182" i="20" s="1"/>
  <c r="N183" i="20" s="1"/>
  <c r="N184" i="20" s="1"/>
  <c r="N185" i="20" s="1"/>
  <c r="N186" i="20" s="1"/>
  <c r="N187" i="20" s="1"/>
  <c r="N188" i="20" s="1"/>
  <c r="N189" i="20" s="1"/>
  <c r="N190" i="20" s="1"/>
  <c r="N191" i="20" s="1"/>
  <c r="N192" i="20" s="1"/>
  <c r="N193" i="20" s="1"/>
  <c r="N194" i="20" s="1"/>
  <c r="N195" i="20" s="1"/>
  <c r="N196" i="20" s="1"/>
  <c r="N197" i="20" s="1"/>
  <c r="N198" i="20" s="1"/>
  <c r="N199" i="20" s="1"/>
  <c r="N200" i="20" s="1"/>
  <c r="N201" i="20" s="1"/>
  <c r="N202" i="20" s="1"/>
  <c r="N203" i="20" s="1"/>
  <c r="C67" i="20"/>
  <c r="E51" i="20"/>
  <c r="E67" i="20" s="1"/>
  <c r="L204" i="20"/>
  <c r="N204" i="20" s="1"/>
  <c r="E19" i="20" l="1"/>
  <c r="E66" i="20" s="1"/>
  <c r="C52" i="19"/>
  <c r="F52" i="19" s="1"/>
  <c r="D67" i="19"/>
  <c r="C65" i="19"/>
  <c r="F65" i="19" s="1"/>
  <c r="C64" i="19"/>
  <c r="F64" i="19" s="1"/>
  <c r="C63" i="19"/>
  <c r="F63" i="19" s="1"/>
  <c r="C62" i="19"/>
  <c r="F62" i="19" s="1"/>
  <c r="C61" i="19"/>
  <c r="F61" i="19" s="1"/>
  <c r="C60" i="19"/>
  <c r="F60" i="19" s="1"/>
  <c r="C59" i="19"/>
  <c r="F59" i="19" s="1"/>
  <c r="C58" i="19"/>
  <c r="F58" i="19" s="1"/>
  <c r="C57" i="19"/>
  <c r="F57" i="19" s="1"/>
  <c r="C56" i="19"/>
  <c r="F56" i="19" s="1"/>
  <c r="C55" i="19"/>
  <c r="F55" i="19" s="1"/>
  <c r="F54" i="19"/>
  <c r="F53" i="19"/>
  <c r="F51" i="19"/>
  <c r="C50" i="19"/>
  <c r="F50" i="19" s="1"/>
  <c r="C49" i="19"/>
  <c r="F49" i="19" s="1"/>
  <c r="C48" i="19"/>
  <c r="F48" i="19" s="1"/>
  <c r="C47" i="19"/>
  <c r="F47" i="19" s="1"/>
  <c r="C46" i="19"/>
  <c r="F46" i="19" s="1"/>
  <c r="C45" i="19"/>
  <c r="F45" i="19" s="1"/>
  <c r="C44" i="19"/>
  <c r="F44" i="19" s="1"/>
  <c r="C43" i="19"/>
  <c r="F43" i="19" s="1"/>
  <c r="C42" i="19"/>
  <c r="F42" i="19" s="1"/>
  <c r="C41" i="19"/>
  <c r="F41" i="19" s="1"/>
  <c r="C40" i="19"/>
  <c r="F40" i="19" s="1"/>
  <c r="C39" i="19"/>
  <c r="F39" i="19" s="1"/>
  <c r="C38" i="19"/>
  <c r="F38" i="19" s="1"/>
  <c r="C37" i="19"/>
  <c r="F37" i="19" s="1"/>
  <c r="C36" i="19"/>
  <c r="F36" i="19" s="1"/>
  <c r="C35" i="19"/>
  <c r="F35" i="19" s="1"/>
  <c r="C34" i="19"/>
  <c r="F34" i="19" s="1"/>
  <c r="C33" i="19"/>
  <c r="F33" i="19" s="1"/>
  <c r="C32" i="19"/>
  <c r="F32" i="19" s="1"/>
  <c r="C31" i="19"/>
  <c r="F31" i="19" s="1"/>
  <c r="C30" i="19"/>
  <c r="F30" i="19" s="1"/>
  <c r="C29" i="19"/>
  <c r="F29" i="19" s="1"/>
  <c r="C28" i="19"/>
  <c r="F28" i="19" s="1"/>
  <c r="C27" i="19"/>
  <c r="F27" i="19" s="1"/>
  <c r="C26" i="19"/>
  <c r="F26" i="19" s="1"/>
  <c r="C25" i="19"/>
  <c r="F25" i="19" s="1"/>
  <c r="C24" i="19"/>
  <c r="F24" i="19" s="1"/>
  <c r="C23" i="19"/>
  <c r="F23" i="19" s="1"/>
  <c r="C22" i="19"/>
  <c r="F22" i="19" s="1"/>
  <c r="C21" i="19"/>
  <c r="F21" i="19" s="1"/>
  <c r="C20" i="19"/>
  <c r="F20" i="19" s="1"/>
  <c r="C19" i="19"/>
  <c r="F14" i="19"/>
  <c r="N1" i="19"/>
  <c r="C66" i="19" l="1"/>
  <c r="F19" i="19"/>
  <c r="F66" i="19" s="1"/>
  <c r="F67" i="19"/>
  <c r="C67" i="19"/>
  <c r="N207" i="19"/>
  <c r="M207" i="19"/>
  <c r="I54" i="14"/>
  <c r="C54" i="14"/>
  <c r="B54" i="14"/>
  <c r="I36" i="14"/>
  <c r="E36" i="14"/>
  <c r="C36" i="14"/>
  <c r="B36" i="14"/>
  <c r="C56" i="14" l="1"/>
  <c r="B56" i="14"/>
  <c r="E56" i="14"/>
  <c r="I56" i="14"/>
  <c r="O207" i="19"/>
  <c r="M1" i="15" l="1"/>
  <c r="M71" i="15"/>
  <c r="D68" i="15" l="1"/>
  <c r="C52" i="15"/>
  <c r="C49" i="15"/>
  <c r="D67" i="15"/>
  <c r="C22" i="15"/>
  <c r="C66" i="15"/>
  <c r="C65" i="15"/>
  <c r="C64" i="15"/>
  <c r="C63" i="15"/>
  <c r="C62" i="15"/>
  <c r="C60" i="15"/>
  <c r="C59" i="15"/>
  <c r="C58" i="15"/>
  <c r="C57" i="15"/>
  <c r="C56" i="15"/>
  <c r="C55" i="15"/>
  <c r="C54" i="15"/>
  <c r="C51" i="15"/>
  <c r="C50" i="15"/>
  <c r="C48" i="15"/>
  <c r="C47" i="15"/>
  <c r="C46" i="15"/>
  <c r="C45" i="15"/>
  <c r="C44" i="15"/>
  <c r="C43" i="15"/>
  <c r="C42" i="15"/>
  <c r="C41" i="15"/>
  <c r="C40" i="15"/>
  <c r="C38" i="15"/>
  <c r="C37" i="15"/>
  <c r="C36" i="15"/>
  <c r="C35" i="15"/>
  <c r="C34" i="15"/>
  <c r="C33" i="15"/>
  <c r="C32" i="15"/>
  <c r="C31" i="15"/>
  <c r="C30" i="15"/>
  <c r="C29" i="15"/>
  <c r="C28" i="15"/>
  <c r="C27" i="15"/>
  <c r="C26" i="15"/>
  <c r="C24" i="15"/>
  <c r="C21" i="15"/>
  <c r="M194" i="15"/>
  <c r="M195" i="15"/>
  <c r="M191" i="15"/>
  <c r="B143" i="15"/>
  <c r="L192" i="15" l="1"/>
  <c r="C61" i="15" s="1"/>
  <c r="L188" i="15" l="1"/>
  <c r="M188" i="15" l="1"/>
  <c r="M189" i="15"/>
  <c r="M190" i="15"/>
  <c r="M192" i="15"/>
  <c r="M193" i="15"/>
  <c r="M198" i="15"/>
  <c r="M199" i="15"/>
  <c r="M200" i="15"/>
  <c r="M201" i="15"/>
  <c r="E46" i="15" l="1"/>
  <c r="M178" i="15"/>
  <c r="M179" i="15"/>
  <c r="M180" i="15"/>
  <c r="M181" i="15"/>
  <c r="M182" i="15"/>
  <c r="M202" i="15"/>
  <c r="M203" i="15"/>
  <c r="M173" i="15"/>
  <c r="M174" i="15"/>
  <c r="M175" i="15"/>
  <c r="M171" i="15"/>
  <c r="L170" i="15"/>
  <c r="M163" i="15"/>
  <c r="M164" i="15"/>
  <c r="M162" i="15"/>
  <c r="G151" i="15"/>
  <c r="G152" i="15" s="1"/>
  <c r="G153" i="15" s="1"/>
  <c r="G154" i="15" s="1"/>
  <c r="G155" i="15" s="1"/>
  <c r="E18" i="15" l="1"/>
  <c r="E27" i="15"/>
  <c r="E49" i="15"/>
  <c r="E66" i="15"/>
  <c r="E65" i="15"/>
  <c r="E64" i="15"/>
  <c r="E63" i="15"/>
  <c r="E62" i="15"/>
  <c r="E61" i="15"/>
  <c r="E60" i="15"/>
  <c r="E59" i="15"/>
  <c r="E58" i="15"/>
  <c r="E57" i="15"/>
  <c r="E56" i="15"/>
  <c r="E55" i="15"/>
  <c r="E54" i="15"/>
  <c r="E51" i="15"/>
  <c r="E50" i="15"/>
  <c r="E48" i="15"/>
  <c r="E47" i="15"/>
  <c r="E45" i="15"/>
  <c r="E44" i="15"/>
  <c r="E43" i="15"/>
  <c r="E42" i="15"/>
  <c r="E41" i="15"/>
  <c r="E40" i="15"/>
  <c r="E38" i="15"/>
  <c r="E37" i="15"/>
  <c r="E36" i="15"/>
  <c r="E35" i="15"/>
  <c r="E34" i="15"/>
  <c r="E33" i="15"/>
  <c r="E32" i="15"/>
  <c r="E31" i="15"/>
  <c r="E30" i="15"/>
  <c r="E29" i="15"/>
  <c r="E28" i="15"/>
  <c r="E26" i="15"/>
  <c r="E24" i="15"/>
  <c r="E21" i="15"/>
  <c r="C20" i="15"/>
  <c r="E20" i="15" s="1"/>
  <c r="E22" i="15"/>
  <c r="E52" i="15"/>
  <c r="M94" i="15" l="1"/>
  <c r="M110" i="15" l="1"/>
  <c r="N24" i="16"/>
  <c r="M145" i="15" l="1"/>
  <c r="C53" i="15" l="1"/>
  <c r="C68" i="15" s="1"/>
  <c r="G122" i="15"/>
  <c r="G123" i="15" s="1"/>
  <c r="G124" i="15" s="1"/>
  <c r="G125" i="15" s="1"/>
  <c r="G126" i="15" s="1"/>
  <c r="G127" i="15" s="1"/>
  <c r="G128" i="15" s="1"/>
  <c r="G129" i="15" s="1"/>
  <c r="G130" i="15" s="1"/>
  <c r="G131" i="15" s="1"/>
  <c r="E53" i="15" l="1"/>
  <c r="E68" i="15" s="1"/>
  <c r="G80" i="15"/>
  <c r="G81" i="15" s="1"/>
  <c r="G82" i="15" s="1"/>
  <c r="G83" i="15" s="1"/>
  <c r="G84" i="15" s="1"/>
  <c r="G85" i="15" s="1"/>
  <c r="G86" i="15" s="1"/>
  <c r="G88" i="15" s="1"/>
  <c r="G89" i="15" s="1"/>
  <c r="L32" i="15" l="1"/>
  <c r="G45" i="15"/>
  <c r="G46" i="15" s="1"/>
  <c r="G47" i="15" s="1"/>
  <c r="G48" i="15" s="1"/>
  <c r="G49" i="15" s="1"/>
  <c r="G50" i="15" s="1"/>
  <c r="G51" i="15" s="1"/>
  <c r="G52" i="15" s="1"/>
  <c r="G53" i="15" s="1"/>
  <c r="C23" i="15" l="1"/>
  <c r="E23" i="15" s="1"/>
  <c r="T175" i="13"/>
  <c r="L9" i="15" l="1"/>
  <c r="C25" i="15" s="1"/>
  <c r="L8" i="15"/>
  <c r="C39" i="15" s="1"/>
  <c r="E25" i="15" l="1"/>
  <c r="E39" i="15"/>
  <c r="B17" i="16"/>
  <c r="C19" i="15"/>
  <c r="C67" i="15" l="1"/>
  <c r="E19" i="15"/>
  <c r="E67" i="15" s="1"/>
  <c r="C18" i="13"/>
  <c r="C19" i="13"/>
  <c r="C20" i="13"/>
  <c r="C22" i="13"/>
  <c r="C23" i="13"/>
  <c r="C24" i="13"/>
  <c r="C25" i="13"/>
  <c r="C26" i="13"/>
  <c r="C27" i="13"/>
  <c r="C28" i="13"/>
  <c r="C29" i="13"/>
  <c r="C30" i="13"/>
  <c r="C31" i="13"/>
  <c r="C32" i="13"/>
  <c r="C33" i="13"/>
  <c r="C34" i="13"/>
  <c r="C35" i="13"/>
  <c r="C36" i="13"/>
  <c r="C37" i="13"/>
  <c r="C39" i="13"/>
  <c r="C40" i="13"/>
  <c r="C41" i="13"/>
  <c r="C42" i="13"/>
  <c r="C43" i="13"/>
  <c r="C44" i="13"/>
  <c r="C45" i="13"/>
  <c r="C46" i="13"/>
  <c r="C47" i="13"/>
  <c r="C48" i="13"/>
  <c r="C49" i="13"/>
  <c r="C50" i="13"/>
  <c r="C51" i="13"/>
  <c r="C52" i="13"/>
  <c r="C53" i="13"/>
  <c r="C56" i="13"/>
  <c r="C57" i="13"/>
  <c r="C58" i="13"/>
  <c r="C59" i="13"/>
  <c r="C17" i="13"/>
  <c r="M154" i="13"/>
  <c r="M160" i="13"/>
  <c r="M158" i="13"/>
  <c r="C55" i="13" l="1"/>
  <c r="C38" i="13"/>
  <c r="C21" i="13"/>
  <c r="E14" i="15" l="1"/>
  <c r="M129" i="13"/>
  <c r="C54" i="13" l="1"/>
  <c r="L204" i="15"/>
  <c r="M204" i="15"/>
  <c r="O1" i="13"/>
  <c r="N204" i="15" l="1"/>
  <c r="Q4" i="13"/>
  <c r="Q5" i="13" s="1"/>
  <c r="Q6" i="13" s="1"/>
  <c r="Q7" i="13" s="1"/>
  <c r="Q8" i="13" s="1"/>
  <c r="Q9" i="13" s="1"/>
  <c r="Q10" i="13" s="1"/>
  <c r="Q11" i="13" s="1"/>
  <c r="Q12" i="13" s="1"/>
  <c r="Q13" i="13" s="1"/>
  <c r="Q14" i="13" s="1"/>
  <c r="Q15" i="13" s="1"/>
  <c r="Q16" i="13" s="1"/>
  <c r="Q17" i="13" s="1"/>
  <c r="Q18" i="13" s="1"/>
  <c r="Q19" i="13" s="1"/>
  <c r="Q20" i="13" s="1"/>
  <c r="Q21" i="13" s="1"/>
  <c r="Q22" i="13" s="1"/>
  <c r="Q23" i="13" s="1"/>
  <c r="Q24" i="13" s="1"/>
  <c r="Q25" i="13" s="1"/>
  <c r="Q26" i="13" s="1"/>
  <c r="Q27" i="13" s="1"/>
  <c r="Q28" i="13" s="1"/>
  <c r="Q29" i="13" s="1"/>
  <c r="Q30" i="13" s="1"/>
  <c r="Q31" i="13" s="1"/>
  <c r="Q32" i="13" s="1"/>
  <c r="Q33" i="13" s="1"/>
  <c r="Q34" i="13" s="1"/>
  <c r="Q35" i="13" s="1"/>
  <c r="Q36" i="13" s="1"/>
  <c r="Q37" i="13" s="1"/>
  <c r="Q38" i="13" s="1"/>
  <c r="Q39" i="13" s="1"/>
  <c r="Q40" i="13" s="1"/>
  <c r="Q41" i="13" s="1"/>
  <c r="Q42" i="13" s="1"/>
  <c r="Q43" i="13" s="1"/>
  <c r="Q44" i="13" s="1"/>
  <c r="Q45" i="13" s="1"/>
  <c r="Q46" i="13" s="1"/>
  <c r="Q47" i="13" s="1"/>
  <c r="Q48" i="13" s="1"/>
  <c r="Q49" i="13" s="1"/>
  <c r="Q50" i="13" s="1"/>
  <c r="Q51" i="13" s="1"/>
  <c r="Q52" i="13" s="1"/>
  <c r="Q53" i="13" s="1"/>
  <c r="Q54" i="13" s="1"/>
  <c r="Q55" i="13" s="1"/>
  <c r="Q56" i="13" s="1"/>
  <c r="Q57" i="13" s="1"/>
  <c r="Q58" i="13" s="1"/>
  <c r="Q59" i="13" s="1"/>
  <c r="Q60" i="13" s="1"/>
  <c r="Q61" i="13" s="1"/>
  <c r="Q62" i="13" s="1"/>
  <c r="Q63" i="13" s="1"/>
  <c r="Q64" i="13" s="1"/>
  <c r="Q65" i="13" s="1"/>
  <c r="Q66" i="13" s="1"/>
  <c r="Q67" i="13" s="1"/>
  <c r="Q68" i="13" s="1"/>
  <c r="Q69" i="13" s="1"/>
  <c r="Q70" i="13" s="1"/>
  <c r="Q71" i="13" s="1"/>
  <c r="Q72" i="13" s="1"/>
  <c r="Q73" i="13" s="1"/>
  <c r="Q74" i="13" s="1"/>
  <c r="Q75" i="13" s="1"/>
  <c r="Q76" i="13" s="1"/>
  <c r="Q77" i="13" s="1"/>
  <c r="Q78" i="13" s="1"/>
  <c r="Q79" i="13" s="1"/>
  <c r="Q80" i="13" s="1"/>
  <c r="Q81" i="13" s="1"/>
  <c r="Q82" i="13" s="1"/>
  <c r="Q83" i="13" s="1"/>
  <c r="Q84" i="13" s="1"/>
  <c r="Q85" i="13" s="1"/>
  <c r="Q86" i="13" s="1"/>
  <c r="Q87" i="13" s="1"/>
  <c r="Q88" i="13" s="1"/>
  <c r="Q89" i="13" s="1"/>
  <c r="Q90" i="13" s="1"/>
  <c r="Q91" i="13" s="1"/>
  <c r="Q92" i="13" s="1"/>
  <c r="Q93" i="13" s="1"/>
  <c r="Q94" i="13" s="1"/>
  <c r="Q95" i="13" s="1"/>
  <c r="Q96" i="13" s="1"/>
  <c r="Q97" i="13" s="1"/>
  <c r="Q98" i="13" s="1"/>
  <c r="Q99" i="13" s="1"/>
  <c r="Q100" i="13" s="1"/>
  <c r="Q101" i="13" s="1"/>
  <c r="Q102" i="13" s="1"/>
  <c r="Q103" i="13" s="1"/>
  <c r="Q104" i="13" s="1"/>
  <c r="Q105" i="13" s="1"/>
  <c r="Q106" i="13" s="1"/>
  <c r="Q107" i="13" s="1"/>
  <c r="Q108" i="13" s="1"/>
  <c r="Q109" i="13" s="1"/>
  <c r="Q110" i="13" s="1"/>
  <c r="Q111" i="13" s="1"/>
  <c r="Q112" i="13" s="1"/>
  <c r="Q113" i="13" s="1"/>
  <c r="Q114" i="13" s="1"/>
  <c r="Q115" i="13" s="1"/>
  <c r="Q116" i="13" s="1"/>
  <c r="Q117" i="13" s="1"/>
  <c r="Q118" i="13" s="1"/>
  <c r="Q119" i="13" s="1"/>
  <c r="Q120" i="13" s="1"/>
  <c r="Q121" i="13" s="1"/>
  <c r="Q122" i="13" s="1"/>
  <c r="Q123" i="13" s="1"/>
  <c r="Q124" i="13" s="1"/>
  <c r="Q125" i="13" s="1"/>
  <c r="Q126" i="13" s="1"/>
  <c r="Q127" i="13" s="1"/>
  <c r="Q128" i="13" s="1"/>
  <c r="Q129" i="13" s="1"/>
  <c r="Q130" i="13" s="1"/>
  <c r="Q131" i="13" s="1"/>
  <c r="Q132" i="13" s="1"/>
  <c r="Q133" i="13" s="1"/>
  <c r="Q134" i="13" s="1"/>
  <c r="Q135" i="13" s="1"/>
  <c r="Q136" i="13" s="1"/>
  <c r="Q137" i="13" s="1"/>
  <c r="Q138" i="13" s="1"/>
  <c r="Q139" i="13" s="1"/>
  <c r="Q140" i="13" s="1"/>
  <c r="Q141" i="13" s="1"/>
  <c r="Q142" i="13" s="1"/>
  <c r="Q143" i="13" s="1"/>
  <c r="Q144" i="13" s="1"/>
  <c r="Q145" i="13" s="1"/>
  <c r="Q146" i="13" s="1"/>
  <c r="Q147" i="13" s="1"/>
  <c r="Q148" i="13" s="1"/>
  <c r="Q149" i="13" s="1"/>
  <c r="Q150" i="13" s="1"/>
  <c r="Q151" i="13" s="1"/>
  <c r="Q152" i="13" s="1"/>
  <c r="Q153" i="13" s="1"/>
  <c r="Q154" i="13" s="1"/>
  <c r="Q155" i="13" s="1"/>
  <c r="Q156" i="13" s="1"/>
  <c r="Q157" i="13" s="1"/>
  <c r="Q158" i="13" s="1"/>
  <c r="Q159" i="13" s="1"/>
  <c r="Q160" i="13" s="1"/>
  <c r="Q161" i="13" s="1"/>
  <c r="Q162" i="13" s="1"/>
  <c r="Q163" i="13" s="1"/>
  <c r="Q164" i="13" s="1"/>
  <c r="Q165" i="13" s="1"/>
  <c r="Q166" i="13" s="1"/>
  <c r="Q167" i="13" s="1"/>
  <c r="Q168" i="13" s="1"/>
  <c r="Q169" i="13" s="1"/>
  <c r="Q170" i="13" s="1"/>
  <c r="Q171" i="13" s="1"/>
  <c r="Q172" i="13" s="1"/>
  <c r="Q173" i="13" s="1"/>
  <c r="Q174" i="13" s="1"/>
  <c r="Q175" i="13" s="1"/>
  <c r="Q176" i="13" s="1"/>
  <c r="E50" i="13" l="1"/>
  <c r="T176" i="13" l="1"/>
  <c r="M4" i="11"/>
  <c r="K176" i="11"/>
  <c r="K175" i="11"/>
  <c r="E40" i="13"/>
  <c r="E39" i="13"/>
  <c r="E38" i="13"/>
  <c r="E37" i="13"/>
  <c r="E36" i="13"/>
  <c r="E35" i="13"/>
  <c r="E34" i="13"/>
  <c r="E33" i="13"/>
  <c r="E32" i="13"/>
  <c r="E31" i="13"/>
  <c r="E30" i="13"/>
  <c r="E29" i="13"/>
  <c r="C53" i="11" l="1"/>
  <c r="E53" i="11" s="1"/>
  <c r="C52" i="11"/>
  <c r="E52" i="11" s="1"/>
  <c r="C51" i="11"/>
  <c r="E51" i="11" s="1"/>
  <c r="C50" i="11"/>
  <c r="E50" i="11" s="1"/>
  <c r="C49" i="11"/>
  <c r="E49" i="11" s="1"/>
  <c r="C48" i="11"/>
  <c r="E48" i="11" s="1"/>
  <c r="C47" i="11"/>
  <c r="E47" i="11" s="1"/>
  <c r="C46" i="11"/>
  <c r="E46" i="11" s="1"/>
  <c r="C45" i="11"/>
  <c r="E45" i="11" s="1"/>
  <c r="C44" i="11"/>
  <c r="E44" i="11" s="1"/>
  <c r="C43" i="11"/>
  <c r="E43" i="11" s="1"/>
  <c r="C42" i="11"/>
  <c r="E42" i="11" s="1"/>
  <c r="C41" i="11"/>
  <c r="E41" i="11" s="1"/>
  <c r="C38" i="11"/>
  <c r="E38" i="11" s="1"/>
  <c r="C37" i="11"/>
  <c r="E37" i="11" s="1"/>
  <c r="C36" i="11"/>
  <c r="E36" i="11" s="1"/>
  <c r="C35" i="11"/>
  <c r="E35" i="11" s="1"/>
  <c r="C34" i="11"/>
  <c r="E34" i="11" s="1"/>
  <c r="C33" i="11"/>
  <c r="E33" i="11" s="1"/>
  <c r="C32" i="11"/>
  <c r="E32" i="11" s="1"/>
  <c r="C31" i="11"/>
  <c r="E31" i="11" s="1"/>
  <c r="C30" i="11"/>
  <c r="E30" i="11" s="1"/>
  <c r="C29" i="11"/>
  <c r="E29" i="11" s="1"/>
  <c r="C28" i="11"/>
  <c r="E28" i="11" s="1"/>
  <c r="C27" i="11"/>
  <c r="E27" i="11" s="1"/>
  <c r="C26" i="11"/>
  <c r="E26" i="11" s="1"/>
  <c r="C25" i="11"/>
  <c r="E25" i="11" s="1"/>
  <c r="C24" i="11"/>
  <c r="E24" i="11" s="1"/>
  <c r="C23" i="11"/>
  <c r="E23" i="11" s="1"/>
  <c r="C22" i="11"/>
  <c r="E22" i="11" s="1"/>
  <c r="C20" i="11"/>
  <c r="E20" i="11" s="1"/>
  <c r="C19" i="11"/>
  <c r="E19" i="11" s="1"/>
  <c r="C18" i="11"/>
  <c r="E18" i="11" s="1"/>
  <c r="C17" i="11"/>
  <c r="E17" i="11" s="1"/>
  <c r="C16" i="11"/>
  <c r="E16" i="11" s="1"/>
  <c r="C15" i="11"/>
  <c r="E15" i="11" s="1"/>
  <c r="C14" i="11"/>
  <c r="E14" i="11" s="1"/>
  <c r="C13" i="11"/>
  <c r="E13" i="11" s="1"/>
  <c r="C12" i="11"/>
  <c r="E12" i="11" s="1"/>
  <c r="C11" i="11"/>
  <c r="E11" i="11" s="1"/>
  <c r="C21" i="11"/>
  <c r="E21" i="11" s="1"/>
  <c r="C8" i="11"/>
  <c r="E8" i="11" s="1"/>
  <c r="C9" i="11"/>
  <c r="E9" i="11" s="1"/>
  <c r="C10" i="11"/>
  <c r="E10" i="11" s="1"/>
  <c r="C39" i="11"/>
  <c r="C40" i="11"/>
  <c r="E40" i="11" s="1"/>
  <c r="C7" i="11"/>
  <c r="C17" i="1"/>
  <c r="M4" i="8"/>
  <c r="M5" i="8" s="1"/>
  <c r="M6" i="8" s="1"/>
  <c r="M7" i="8" s="1"/>
  <c r="M8" i="8" s="1"/>
  <c r="M9" i="8" s="1"/>
  <c r="M10" i="8" s="1"/>
  <c r="M11" i="8" s="1"/>
  <c r="M12" i="8" s="1"/>
  <c r="M13" i="8" s="1"/>
  <c r="M14" i="8" s="1"/>
  <c r="M15" i="8" s="1"/>
  <c r="M16" i="8" s="1"/>
  <c r="M17" i="8" s="1"/>
  <c r="M18" i="8" s="1"/>
  <c r="M19" i="8" s="1"/>
  <c r="M20" i="8" s="1"/>
  <c r="M21" i="8" s="1"/>
  <c r="M22" i="8" s="1"/>
  <c r="M23" i="8" s="1"/>
  <c r="M24" i="8" s="1"/>
  <c r="M25" i="8" s="1"/>
  <c r="M26" i="8" s="1"/>
  <c r="M27" i="8" s="1"/>
  <c r="M28" i="8" s="1"/>
  <c r="M29" i="8" s="1"/>
  <c r="M30" i="8" s="1"/>
  <c r="M31" i="8" s="1"/>
  <c r="M32" i="8" s="1"/>
  <c r="M33" i="8" s="1"/>
  <c r="M34" i="8" s="1"/>
  <c r="M35" i="8" s="1"/>
  <c r="M36" i="8" s="1"/>
  <c r="M37" i="8" s="1"/>
  <c r="M38" i="8" s="1"/>
  <c r="M39" i="8" s="1"/>
  <c r="M40" i="8" s="1"/>
  <c r="M41" i="8" s="1"/>
  <c r="M42" i="8" s="1"/>
  <c r="M43" i="8" s="1"/>
  <c r="M44" i="8" s="1"/>
  <c r="M45" i="8" s="1"/>
  <c r="M46" i="8" s="1"/>
  <c r="M47" i="8" s="1"/>
  <c r="M48" i="8" s="1"/>
  <c r="M49" i="8" s="1"/>
  <c r="M50" i="8" s="1"/>
  <c r="M51" i="8" s="1"/>
  <c r="M52" i="8" s="1"/>
  <c r="M53" i="8" s="1"/>
  <c r="M54" i="8" s="1"/>
  <c r="M55" i="8" s="1"/>
  <c r="M56" i="8" s="1"/>
  <c r="M57" i="8" s="1"/>
  <c r="M58" i="8" s="1"/>
  <c r="M59" i="8" s="1"/>
  <c r="M60" i="8" s="1"/>
  <c r="M61" i="8" s="1"/>
  <c r="M62" i="8" s="1"/>
  <c r="M63" i="8" s="1"/>
  <c r="M64" i="8" s="1"/>
  <c r="M65" i="8" s="1"/>
  <c r="M66" i="8" s="1"/>
  <c r="M67" i="8" s="1"/>
  <c r="M68" i="8" s="1"/>
  <c r="M69" i="8" s="1"/>
  <c r="M70" i="8" s="1"/>
  <c r="M71" i="8" s="1"/>
  <c r="M72" i="8" s="1"/>
  <c r="M73" i="8" s="1"/>
  <c r="M74" i="8" s="1"/>
  <c r="M75" i="8" s="1"/>
  <c r="M76" i="8" s="1"/>
  <c r="M77" i="8" s="1"/>
  <c r="M78" i="8" s="1"/>
  <c r="M79" i="8" s="1"/>
  <c r="M80" i="8" s="1"/>
  <c r="M81" i="8" s="1"/>
  <c r="M82" i="8" s="1"/>
  <c r="M83" i="8" s="1"/>
  <c r="M84" i="8" s="1"/>
  <c r="M85" i="8" s="1"/>
  <c r="M86" i="8" s="1"/>
  <c r="M87" i="8" s="1"/>
  <c r="M88" i="8" s="1"/>
  <c r="M89" i="8" s="1"/>
  <c r="M90" i="8" s="1"/>
  <c r="M91" i="8" s="1"/>
  <c r="M92" i="8" s="1"/>
  <c r="M93" i="8" s="1"/>
  <c r="M94" i="8" s="1"/>
  <c r="M95" i="8" s="1"/>
  <c r="M96" i="8" s="1"/>
  <c r="M97" i="8" s="1"/>
  <c r="M98" i="8" s="1"/>
  <c r="M99" i="8" s="1"/>
  <c r="M100" i="8" s="1"/>
  <c r="M101" i="8" s="1"/>
  <c r="M102" i="8" s="1"/>
  <c r="M103" i="8" s="1"/>
  <c r="M104" i="8" s="1"/>
  <c r="M105" i="8" s="1"/>
  <c r="M106" i="8" s="1"/>
  <c r="M107" i="8" s="1"/>
  <c r="M108" i="8" s="1"/>
  <c r="M109" i="8" s="1"/>
  <c r="M110" i="8" s="1"/>
  <c r="M111" i="8" s="1"/>
  <c r="M112" i="8" s="1"/>
  <c r="M113" i="8" s="1"/>
  <c r="M114" i="8" s="1"/>
  <c r="M115" i="8" s="1"/>
  <c r="M116" i="8" s="1"/>
  <c r="M117" i="8" s="1"/>
  <c r="M118" i="8" s="1"/>
  <c r="M119" i="8" s="1"/>
  <c r="M120" i="8" s="1"/>
  <c r="M121" i="8" s="1"/>
  <c r="M122" i="8" s="1"/>
  <c r="M123" i="8" s="1"/>
  <c r="M124" i="8" s="1"/>
  <c r="M125" i="8" s="1"/>
  <c r="M126" i="8" s="1"/>
  <c r="M127" i="8" s="1"/>
  <c r="M128" i="8" s="1"/>
  <c r="M129" i="8" s="1"/>
  <c r="M130" i="8" s="1"/>
  <c r="M131" i="8" s="1"/>
  <c r="M132" i="8" s="1"/>
  <c r="M133" i="8" s="1"/>
  <c r="M134" i="8" s="1"/>
  <c r="M135" i="8" s="1"/>
  <c r="M136" i="8" s="1"/>
  <c r="M137" i="8" s="1"/>
  <c r="M138" i="8" s="1"/>
  <c r="M139" i="8" s="1"/>
  <c r="M140" i="8" s="1"/>
  <c r="M141" i="8" s="1"/>
  <c r="M142" i="8" s="1"/>
  <c r="M143" i="8" s="1"/>
  <c r="M144" i="8" s="1"/>
  <c r="M145" i="8" s="1"/>
  <c r="M146" i="8" s="1"/>
  <c r="M147" i="8" s="1"/>
  <c r="M148" i="8" s="1"/>
  <c r="M149" i="8" s="1"/>
  <c r="M150" i="8" s="1"/>
  <c r="M151" i="8" s="1"/>
  <c r="M152" i="8" s="1"/>
  <c r="M153" i="8" s="1"/>
  <c r="M154" i="8" s="1"/>
  <c r="M155" i="8" s="1"/>
  <c r="M156" i="8" s="1"/>
  <c r="M157" i="8" s="1"/>
  <c r="E7" i="11" l="1"/>
  <c r="C54" i="11"/>
  <c r="E54" i="11" s="1"/>
  <c r="E39" i="11"/>
  <c r="C56" i="11"/>
  <c r="C6" i="8"/>
  <c r="M177" i="13"/>
  <c r="E59" i="13"/>
  <c r="E58" i="13"/>
  <c r="E57" i="13"/>
  <c r="E56" i="13"/>
  <c r="E55" i="13"/>
  <c r="E54" i="13"/>
  <c r="E53" i="13"/>
  <c r="E52" i="13"/>
  <c r="E51" i="13"/>
  <c r="E49" i="13"/>
  <c r="E48" i="13"/>
  <c r="E46" i="13"/>
  <c r="E45" i="13"/>
  <c r="E44" i="13"/>
  <c r="E43" i="13"/>
  <c r="E42" i="13"/>
  <c r="E41" i="13"/>
  <c r="E28" i="13"/>
  <c r="E27" i="13"/>
  <c r="E26" i="13"/>
  <c r="E25" i="13"/>
  <c r="E24" i="13"/>
  <c r="E23" i="13"/>
  <c r="E22" i="13"/>
  <c r="E21" i="13"/>
  <c r="E20" i="13"/>
  <c r="E19" i="13"/>
  <c r="E18" i="13"/>
  <c r="L143" i="11"/>
  <c r="Q117" i="8"/>
  <c r="Q118" i="8"/>
  <c r="L131" i="1"/>
  <c r="R142" i="8"/>
  <c r="R143" i="8" s="1"/>
  <c r="R145" i="8" s="1"/>
  <c r="K136" i="1"/>
  <c r="E17" i="13" l="1"/>
  <c r="E47" i="13"/>
  <c r="L175" i="11"/>
  <c r="M175" i="11" s="1"/>
  <c r="L176" i="11"/>
  <c r="Q119" i="8"/>
  <c r="P106" i="1"/>
  <c r="Q82" i="8" l="1"/>
  <c r="Q80" i="8"/>
  <c r="Q81" i="8" s="1"/>
  <c r="Q64" i="8"/>
  <c r="Q65" i="8" s="1"/>
  <c r="Q60" i="8"/>
  <c r="Q59" i="8"/>
  <c r="Q51" i="8"/>
  <c r="Q53" i="8" s="1"/>
  <c r="Q44" i="8"/>
  <c r="Q45" i="8"/>
  <c r="Q36" i="8"/>
  <c r="Q34" i="8"/>
  <c r="Q35" i="8" s="1"/>
  <c r="Q28" i="8"/>
  <c r="Q27" i="8"/>
  <c r="R128" i="1"/>
  <c r="R130" i="1" s="1"/>
  <c r="R123" i="1"/>
  <c r="R125" i="1" s="1"/>
  <c r="R97" i="1"/>
  <c r="Q61" i="8" l="1"/>
  <c r="Q83" i="8"/>
  <c r="Q46" i="8"/>
  <c r="Q29" i="8"/>
  <c r="Q37" i="8"/>
  <c r="B3" i="11" l="1"/>
  <c r="C11" i="8"/>
  <c r="C7" i="8" l="1"/>
  <c r="E7" i="8" s="1"/>
  <c r="C33" i="8"/>
  <c r="E33" i="8" s="1"/>
  <c r="C34" i="8"/>
  <c r="E34" i="8" s="1"/>
  <c r="C35" i="8"/>
  <c r="E35" i="8" s="1"/>
  <c r="C36" i="8"/>
  <c r="E36" i="8" s="1"/>
  <c r="D53" i="8"/>
  <c r="E11" i="8"/>
  <c r="C39" i="8"/>
  <c r="E39" i="8" s="1"/>
  <c r="C38" i="8"/>
  <c r="C20" i="8"/>
  <c r="E20" i="8" s="1"/>
  <c r="C9" i="8"/>
  <c r="E9" i="8" s="1"/>
  <c r="C17" i="8"/>
  <c r="E17" i="8" s="1"/>
  <c r="C18" i="8"/>
  <c r="E18" i="8" s="1"/>
  <c r="C19" i="8"/>
  <c r="E19" i="8" s="1"/>
  <c r="C21" i="8"/>
  <c r="E21" i="8" s="1"/>
  <c r="C22" i="8"/>
  <c r="E22" i="8" s="1"/>
  <c r="C23" i="8"/>
  <c r="E23" i="8" s="1"/>
  <c r="C24" i="8"/>
  <c r="E24" i="8" s="1"/>
  <c r="C25" i="8"/>
  <c r="E25" i="8" s="1"/>
  <c r="C26" i="8"/>
  <c r="E26" i="8" s="1"/>
  <c r="C27" i="8"/>
  <c r="E27" i="8" s="1"/>
  <c r="C28" i="8"/>
  <c r="E28" i="8" s="1"/>
  <c r="C29" i="8"/>
  <c r="E29" i="8" s="1"/>
  <c r="C30" i="8"/>
  <c r="E30" i="8" s="1"/>
  <c r="C31" i="8"/>
  <c r="E31" i="8" s="1"/>
  <c r="C32" i="8"/>
  <c r="E32" i="8" s="1"/>
  <c r="C37" i="8"/>
  <c r="E37" i="8" s="1"/>
  <c r="C40" i="8"/>
  <c r="E40" i="8" s="1"/>
  <c r="C41" i="8"/>
  <c r="E41" i="8" s="1"/>
  <c r="C42" i="8"/>
  <c r="E42" i="8" s="1"/>
  <c r="C43" i="8"/>
  <c r="E43" i="8" s="1"/>
  <c r="C44" i="8"/>
  <c r="E44" i="8" s="1"/>
  <c r="C45" i="8"/>
  <c r="E45" i="8" s="1"/>
  <c r="C46" i="8"/>
  <c r="E46" i="8" s="1"/>
  <c r="C47" i="8"/>
  <c r="E47" i="8" s="1"/>
  <c r="C48" i="8"/>
  <c r="E48" i="8" s="1"/>
  <c r="C49" i="8"/>
  <c r="E49" i="8" s="1"/>
  <c r="C50" i="8"/>
  <c r="E50" i="8" s="1"/>
  <c r="C51" i="8"/>
  <c r="E51" i="8" s="1"/>
  <c r="C52" i="8"/>
  <c r="E52" i="8" s="1"/>
  <c r="C15" i="8"/>
  <c r="E15" i="8" s="1"/>
  <c r="C14" i="8"/>
  <c r="E14" i="8" s="1"/>
  <c r="C13" i="8"/>
  <c r="E13" i="8" s="1"/>
  <c r="C12" i="8"/>
  <c r="E12" i="8" s="1"/>
  <c r="C10" i="8"/>
  <c r="E10" i="8" s="1"/>
  <c r="C16" i="8"/>
  <c r="E16" i="8" s="1"/>
  <c r="E38" i="8" l="1"/>
  <c r="C55" i="8"/>
  <c r="M7" i="1"/>
  <c r="M8" i="1" s="1"/>
  <c r="M9" i="1" s="1"/>
  <c r="M10" i="1" s="1"/>
  <c r="M11" i="1" s="1"/>
  <c r="M12" i="1" s="1"/>
  <c r="M13" i="1" s="1"/>
  <c r="M14" i="1" s="1"/>
  <c r="M15" i="1" s="1"/>
  <c r="M16" i="1" s="1"/>
  <c r="M17" i="1" s="1"/>
  <c r="M18" i="1" s="1"/>
  <c r="M19" i="1" s="1"/>
  <c r="M20" i="1" s="1"/>
  <c r="M21" i="1" s="1"/>
  <c r="M22" i="1" s="1"/>
  <c r="M23" i="1" s="1"/>
  <c r="M24" i="1" s="1"/>
  <c r="M25" i="1" s="1"/>
  <c r="M26" i="1" s="1"/>
  <c r="M27" i="1" s="1"/>
  <c r="M28" i="1" s="1"/>
  <c r="M29" i="1" s="1"/>
  <c r="M30" i="1" s="1"/>
  <c r="M31" i="1" s="1"/>
  <c r="M32" i="1" s="1"/>
  <c r="M33" i="1" s="1"/>
  <c r="M34" i="1" s="1"/>
  <c r="M35" i="1" s="1"/>
  <c r="M36" i="1" s="1"/>
  <c r="M37" i="1" s="1"/>
  <c r="M38" i="1" s="1"/>
  <c r="M39" i="1" s="1"/>
  <c r="M40" i="1" s="1"/>
  <c r="M41" i="1" s="1"/>
  <c r="M42" i="1" s="1"/>
  <c r="M43" i="1" s="1"/>
  <c r="M44" i="1" s="1"/>
  <c r="M45" i="1" s="1"/>
  <c r="M46" i="1" s="1"/>
  <c r="M47" i="1" s="1"/>
  <c r="M48" i="1" s="1"/>
  <c r="M49" i="1" s="1"/>
  <c r="M50" i="1" s="1"/>
  <c r="M51" i="1" s="1"/>
  <c r="M52" i="1" s="1"/>
  <c r="M53" i="1" s="1"/>
  <c r="M54" i="1" s="1"/>
  <c r="M55" i="1" s="1"/>
  <c r="M56" i="1" s="1"/>
  <c r="M57" i="1" s="1"/>
  <c r="M58" i="1" s="1"/>
  <c r="M59" i="1" s="1"/>
  <c r="M60" i="1" s="1"/>
  <c r="M61" i="1" s="1"/>
  <c r="M62" i="1" s="1"/>
  <c r="M63" i="1" s="1"/>
  <c r="M64" i="1" s="1"/>
  <c r="M65" i="1" s="1"/>
  <c r="M66" i="1" s="1"/>
  <c r="M67" i="1" s="1"/>
  <c r="M68" i="1" s="1"/>
  <c r="M69" i="1" s="1"/>
  <c r="M70" i="1" s="1"/>
  <c r="M71" i="1" s="1"/>
  <c r="M72" i="1" s="1"/>
  <c r="M73" i="1" s="1"/>
  <c r="M74" i="1" s="1"/>
  <c r="M75" i="1" s="1"/>
  <c r="M76" i="1" s="1"/>
  <c r="M77" i="1" s="1"/>
  <c r="M78" i="1" s="1"/>
  <c r="M79" i="1" s="1"/>
  <c r="M80" i="1" s="1"/>
  <c r="M81" i="1" s="1"/>
  <c r="M82" i="1" s="1"/>
  <c r="M83" i="1" s="1"/>
  <c r="M84" i="1" s="1"/>
  <c r="M85" i="1" s="1"/>
  <c r="M86" i="1" s="1"/>
  <c r="M87" i="1" s="1"/>
  <c r="M88" i="1" s="1"/>
  <c r="M89" i="1" s="1"/>
  <c r="M90" i="1" s="1"/>
  <c r="M91" i="1" s="1"/>
  <c r="M92" i="1" s="1"/>
  <c r="M93" i="1" s="1"/>
  <c r="M94" i="1" s="1"/>
  <c r="M95" i="1" s="1"/>
  <c r="M96" i="1" s="1"/>
  <c r="M97" i="1" s="1"/>
  <c r="M98" i="1" s="1"/>
  <c r="M99" i="1" s="1"/>
  <c r="M100" i="1" s="1"/>
  <c r="M101" i="1" s="1"/>
  <c r="M102" i="1" s="1"/>
  <c r="M103" i="1" s="1"/>
  <c r="M104" i="1" s="1"/>
  <c r="M105" i="1" s="1"/>
  <c r="M106" i="1" s="1"/>
  <c r="M107" i="1" s="1"/>
  <c r="M108" i="1" s="1"/>
  <c r="M109" i="1" s="1"/>
  <c r="M110" i="1" s="1"/>
  <c r="M111" i="1" s="1"/>
  <c r="M112" i="1" s="1"/>
  <c r="M113" i="1" s="1"/>
  <c r="M114" i="1" s="1"/>
  <c r="M115" i="1" s="1"/>
  <c r="M116" i="1" s="1"/>
  <c r="M117" i="1" s="1"/>
  <c r="M118" i="1" s="1"/>
  <c r="M119" i="1" s="1"/>
  <c r="M120" i="1" s="1"/>
  <c r="M121" i="1" s="1"/>
  <c r="M122" i="1" s="1"/>
  <c r="M123" i="1" s="1"/>
  <c r="M124" i="1" s="1"/>
  <c r="M125" i="1" s="1"/>
  <c r="M126" i="1" s="1"/>
  <c r="M127" i="1" s="1"/>
  <c r="M128" i="1" s="1"/>
  <c r="M129" i="1" s="1"/>
  <c r="M130" i="1" s="1"/>
  <c r="M131" i="1" s="1"/>
  <c r="M132" i="1" s="1"/>
  <c r="M133" i="1" s="1"/>
  <c r="M134" i="1" s="1"/>
  <c r="M135" i="1" s="1"/>
  <c r="E6" i="8" l="1"/>
  <c r="L158" i="8"/>
  <c r="K158" i="8"/>
  <c r="C8" i="8"/>
  <c r="E8" i="8" s="1"/>
  <c r="M158" i="8" l="1"/>
  <c r="E53" i="8"/>
  <c r="C53" i="8"/>
  <c r="C16" i="1"/>
  <c r="C47" i="1"/>
  <c r="C46" i="1"/>
  <c r="C18" i="1"/>
  <c r="C28" i="1"/>
  <c r="B3" i="8" l="1"/>
  <c r="G47" i="5"/>
  <c r="H47" i="5"/>
  <c r="B47" i="5"/>
  <c r="D47" i="5" s="1"/>
  <c r="B46" i="5"/>
  <c r="D46" i="5" s="1"/>
  <c r="B45" i="5"/>
  <c r="D45" i="5" s="1"/>
  <c r="B44" i="5"/>
  <c r="D44" i="5" s="1"/>
  <c r="B43" i="5"/>
  <c r="D43" i="5" s="1"/>
  <c r="B42" i="5"/>
  <c r="D42" i="5" s="1"/>
  <c r="B41" i="5"/>
  <c r="D41" i="5" s="1"/>
  <c r="B40" i="5"/>
  <c r="D40" i="5" s="1"/>
  <c r="B39" i="5"/>
  <c r="D39" i="5" s="1"/>
  <c r="B38" i="5"/>
  <c r="D38" i="5" s="1"/>
  <c r="B37" i="5"/>
  <c r="D37" i="5" s="1"/>
  <c r="B36" i="5"/>
  <c r="D36" i="5" s="1"/>
  <c r="B35" i="5"/>
  <c r="D35" i="5" s="1"/>
  <c r="B34" i="5"/>
  <c r="D34" i="5" s="1"/>
  <c r="B33" i="5"/>
  <c r="D33" i="5" s="1"/>
  <c r="B32" i="5"/>
  <c r="D32" i="5" s="1"/>
  <c r="B31" i="5"/>
  <c r="D31" i="5" s="1"/>
  <c r="B30" i="5"/>
  <c r="D30" i="5" s="1"/>
  <c r="B29" i="5"/>
  <c r="D29" i="5" s="1"/>
  <c r="B28" i="5"/>
  <c r="D28" i="5" s="1"/>
  <c r="B27" i="5"/>
  <c r="D27" i="5" s="1"/>
  <c r="B26" i="5"/>
  <c r="D26" i="5" s="1"/>
  <c r="B25" i="5"/>
  <c r="D25" i="5" s="1"/>
  <c r="B24" i="5"/>
  <c r="D24" i="5" s="1"/>
  <c r="B23" i="5"/>
  <c r="D23" i="5" s="1"/>
  <c r="B22" i="5"/>
  <c r="D22" i="5" s="1"/>
  <c r="B21" i="5"/>
  <c r="D21" i="5" s="1"/>
  <c r="B20" i="5"/>
  <c r="D20" i="5" s="1"/>
  <c r="B19" i="5"/>
  <c r="D19" i="5" s="1"/>
  <c r="B18" i="5"/>
  <c r="D18" i="5" s="1"/>
  <c r="B17" i="5"/>
  <c r="D17" i="5" s="1"/>
  <c r="B16" i="5"/>
  <c r="D16" i="5" s="1"/>
  <c r="B15" i="5"/>
  <c r="D15" i="5" s="1"/>
  <c r="B14" i="5"/>
  <c r="D14" i="5" s="1"/>
  <c r="B13" i="5"/>
  <c r="D13" i="5" s="1"/>
  <c r="B12" i="5"/>
  <c r="D12" i="5" s="1"/>
  <c r="B11" i="5"/>
  <c r="D11" i="5" s="1"/>
  <c r="B10" i="5"/>
  <c r="D10" i="5" s="1"/>
  <c r="B9" i="5"/>
  <c r="D9" i="5" s="1"/>
  <c r="B8" i="5"/>
  <c r="D8" i="5" s="1"/>
  <c r="B7" i="5"/>
  <c r="D7" i="5" s="1"/>
  <c r="B6" i="5"/>
  <c r="D6" i="5" s="1"/>
  <c r="B4" i="5"/>
  <c r="D4" i="5" s="1"/>
  <c r="B3" i="5"/>
  <c r="D3" i="5" s="1"/>
  <c r="C19" i="1"/>
  <c r="C20" i="1"/>
  <c r="C21" i="1"/>
  <c r="C22" i="1"/>
  <c r="C23" i="1"/>
  <c r="C24" i="1"/>
  <c r="C25" i="1"/>
  <c r="C26" i="1"/>
  <c r="C27" i="1"/>
  <c r="C29" i="1"/>
  <c r="C30" i="1"/>
  <c r="C31" i="1"/>
  <c r="C32" i="1"/>
  <c r="C33" i="1"/>
  <c r="C34" i="1"/>
  <c r="C35" i="1"/>
  <c r="C36" i="1"/>
  <c r="C37" i="1"/>
  <c r="C38" i="1"/>
  <c r="C39" i="1"/>
  <c r="C40" i="1"/>
  <c r="C41" i="1"/>
  <c r="C42" i="1"/>
  <c r="C43" i="1"/>
  <c r="C44" i="1"/>
  <c r="C45" i="1"/>
  <c r="C48" i="1"/>
  <c r="C49" i="1"/>
  <c r="C50" i="1"/>
  <c r="C51" i="1"/>
  <c r="C52" i="1"/>
  <c r="C53" i="1"/>
  <c r="C54" i="1"/>
  <c r="C55" i="1"/>
  <c r="C56" i="1"/>
  <c r="C57" i="1"/>
  <c r="C58" i="1"/>
  <c r="C59" i="1"/>
  <c r="C60" i="1"/>
  <c r="C61" i="1" l="1"/>
  <c r="H18" i="5"/>
  <c r="G6" i="5"/>
  <c r="H30" i="5"/>
  <c r="H26" i="5"/>
  <c r="F46" i="5"/>
  <c r="H10" i="5"/>
  <c r="H14" i="5"/>
  <c r="F45" i="5"/>
  <c r="F38" i="5"/>
  <c r="H4" i="5"/>
  <c r="H16" i="5"/>
  <c r="H31" i="5"/>
  <c r="H15" i="5"/>
  <c r="F40" i="5"/>
  <c r="H24" i="5"/>
  <c r="H8" i="5"/>
  <c r="H23" i="5"/>
  <c r="F37" i="5"/>
  <c r="H22" i="5"/>
  <c r="F43" i="5"/>
  <c r="F35" i="5"/>
  <c r="H29" i="5"/>
  <c r="H21" i="5"/>
  <c r="H13" i="5"/>
  <c r="F44" i="5"/>
  <c r="F42" i="5"/>
  <c r="H28" i="5"/>
  <c r="H20" i="5"/>
  <c r="H12" i="5"/>
  <c r="F36" i="5"/>
  <c r="F32" i="5"/>
  <c r="F41" i="5"/>
  <c r="G5" i="5"/>
  <c r="H27" i="5"/>
  <c r="H19" i="5"/>
  <c r="H11" i="5"/>
  <c r="F33" i="5"/>
  <c r="F34" i="5"/>
  <c r="F39" i="5"/>
  <c r="H7" i="5"/>
  <c r="H25" i="5"/>
  <c r="H17" i="5"/>
  <c r="H9" i="5"/>
  <c r="C24" i="4"/>
  <c r="C23" i="4"/>
  <c r="C22" i="4"/>
  <c r="C21" i="4"/>
  <c r="C20" i="4"/>
  <c r="C19" i="4"/>
  <c r="C18" i="4"/>
  <c r="C17" i="4"/>
  <c r="J16" i="4"/>
  <c r="I16" i="4"/>
  <c r="K6" i="4"/>
  <c r="K7" i="4" s="1"/>
  <c r="K8" i="4" s="1"/>
  <c r="K9" i="4" s="1"/>
  <c r="K10" i="4" s="1"/>
  <c r="K11" i="4" s="1"/>
  <c r="K12" i="4" s="1"/>
  <c r="K13" i="4" s="1"/>
  <c r="K14" i="4" s="1"/>
  <c r="K15" i="4" s="1"/>
  <c r="F47" i="5" l="1"/>
  <c r="K16" i="4"/>
  <c r="B3" i="4" s="1"/>
  <c r="L136" i="1" l="1"/>
  <c r="M136" i="1" l="1"/>
  <c r="Q97" i="8"/>
  <c r="B3" i="1" l="1"/>
  <c r="M138" i="1"/>
  <c r="Q84" i="8"/>
  <c r="M5" i="11" l="1"/>
  <c r="M6" i="11" s="1"/>
  <c r="M7" i="11" s="1"/>
  <c r="M8" i="11" s="1"/>
  <c r="M9" i="11" s="1"/>
  <c r="M10" i="11" s="1"/>
  <c r="M11" i="11" s="1"/>
  <c r="M12" i="11" s="1"/>
  <c r="M13" i="11" s="1"/>
  <c r="M14" i="11" s="1"/>
  <c r="M15" i="11" s="1"/>
  <c r="M16" i="11" s="1"/>
  <c r="M17" i="11" s="1"/>
  <c r="M18" i="11" s="1"/>
  <c r="M19" i="11" s="1"/>
  <c r="M20" i="11" s="1"/>
  <c r="M21" i="11" s="1"/>
  <c r="M22" i="11" s="1"/>
  <c r="M23" i="11" s="1"/>
  <c r="M24" i="11" s="1"/>
  <c r="M25" i="11" s="1"/>
  <c r="M26" i="11" s="1"/>
  <c r="M27" i="11" s="1"/>
  <c r="M28" i="11" s="1"/>
  <c r="M29" i="11" s="1"/>
  <c r="M30" i="11" s="1"/>
  <c r="M31" i="11" s="1"/>
  <c r="M32" i="11" s="1"/>
  <c r="M33" i="11" s="1"/>
  <c r="M34" i="11" s="1"/>
  <c r="M35" i="11" s="1"/>
  <c r="M36" i="11" s="1"/>
  <c r="M37" i="11" s="1"/>
  <c r="M38" i="11" s="1"/>
  <c r="M39" i="11" s="1"/>
  <c r="M40" i="11" s="1"/>
  <c r="M41" i="11" s="1"/>
  <c r="M42" i="11" s="1"/>
  <c r="M43" i="11" s="1"/>
  <c r="M44" i="11" s="1"/>
  <c r="M45" i="11" s="1"/>
  <c r="M46" i="11" s="1"/>
  <c r="M47" i="11" s="1"/>
  <c r="M48" i="11" s="1"/>
  <c r="M49" i="11" s="1"/>
  <c r="M50" i="11" s="1"/>
  <c r="M51" i="11" s="1"/>
  <c r="M52" i="11" s="1"/>
  <c r="M53" i="11" s="1"/>
  <c r="M54" i="11" s="1"/>
  <c r="M55" i="11" s="1"/>
  <c r="M56" i="11" s="1"/>
  <c r="M57" i="11" s="1"/>
  <c r="M58" i="11" s="1"/>
  <c r="M59" i="11" s="1"/>
  <c r="M60" i="11" s="1"/>
  <c r="M61" i="11" s="1"/>
  <c r="M62" i="11" s="1"/>
  <c r="M63" i="11" s="1"/>
  <c r="M64" i="11" s="1"/>
  <c r="M65" i="11" s="1"/>
  <c r="M66" i="11" s="1"/>
  <c r="M67" i="11" s="1"/>
  <c r="M68" i="11" s="1"/>
  <c r="M69" i="11" s="1"/>
  <c r="M70" i="11" s="1"/>
  <c r="M71" i="11" s="1"/>
  <c r="M72" i="11" s="1"/>
  <c r="M73" i="11" s="1"/>
  <c r="M74" i="11" s="1"/>
  <c r="M75" i="11" s="1"/>
  <c r="M76" i="11" s="1"/>
  <c r="M77" i="11" s="1"/>
  <c r="M78" i="11" s="1"/>
  <c r="M79" i="11" s="1"/>
  <c r="M80" i="11" s="1"/>
  <c r="M81" i="11" s="1"/>
  <c r="M82" i="11" s="1"/>
  <c r="M83" i="11" s="1"/>
  <c r="M84" i="11" s="1"/>
  <c r="M85" i="11" s="1"/>
  <c r="M86" i="11" s="1"/>
  <c r="M87" i="11" s="1"/>
  <c r="M88" i="11" s="1"/>
  <c r="M89" i="11" s="1"/>
  <c r="M90" i="11" s="1"/>
  <c r="M91" i="11" s="1"/>
  <c r="M92" i="11" s="1"/>
  <c r="M93" i="11" s="1"/>
  <c r="M94" i="11" s="1"/>
  <c r="M95" i="11" s="1"/>
  <c r="M96" i="11" s="1"/>
  <c r="M97" i="11" s="1"/>
  <c r="M98" i="11" s="1"/>
  <c r="M99" i="11" s="1"/>
  <c r="M100" i="11" s="1"/>
  <c r="M101" i="11" s="1"/>
  <c r="M102" i="11" s="1"/>
  <c r="M103" i="11" s="1"/>
  <c r="M104" i="11" s="1"/>
  <c r="M105" i="11" s="1"/>
  <c r="M106" i="11" s="1"/>
  <c r="M107" i="11" s="1"/>
  <c r="M108" i="11" s="1"/>
  <c r="M109" i="11" s="1"/>
  <c r="M110" i="11" s="1"/>
  <c r="M111" i="11" s="1"/>
  <c r="M112" i="11" s="1"/>
  <c r="M113" i="11" s="1"/>
  <c r="M114" i="11" s="1"/>
  <c r="M115" i="11" s="1"/>
  <c r="M116" i="11" s="1"/>
  <c r="M117" i="11" s="1"/>
  <c r="M118" i="11" s="1"/>
  <c r="M119" i="11" s="1"/>
  <c r="M120" i="11" s="1"/>
  <c r="M121" i="11" s="1"/>
  <c r="M122" i="11" s="1"/>
  <c r="M123" i="11" s="1"/>
  <c r="M124" i="11" s="1"/>
  <c r="M125" i="11" s="1"/>
  <c r="M126" i="11" s="1"/>
  <c r="M127" i="11" s="1"/>
  <c r="M128" i="11" s="1"/>
  <c r="M129" i="11" s="1"/>
  <c r="M130" i="11" s="1"/>
  <c r="M131" i="11" s="1"/>
  <c r="M132" i="11" s="1"/>
  <c r="M133" i="11" s="1"/>
  <c r="M134" i="11" s="1"/>
  <c r="M135" i="11" s="1"/>
  <c r="M136" i="11" s="1"/>
  <c r="M137" i="11" s="1"/>
  <c r="M138" i="11" s="1"/>
  <c r="M139" i="11" s="1"/>
  <c r="M140" i="11" s="1"/>
  <c r="M141" i="11" s="1"/>
  <c r="M142" i="11" s="1"/>
  <c r="M143" i="11" s="1"/>
  <c r="M144" i="11" s="1"/>
  <c r="M145" i="11" s="1"/>
  <c r="M146" i="11" s="1"/>
  <c r="M147" i="11" s="1"/>
  <c r="M148" i="11" s="1"/>
  <c r="M149" i="11" s="1"/>
  <c r="M150" i="11" s="1"/>
  <c r="M151" i="11" s="1"/>
  <c r="M152" i="11" s="1"/>
  <c r="M153" i="11" s="1"/>
  <c r="M154" i="11" s="1"/>
  <c r="M155" i="11" s="1"/>
  <c r="M156" i="11" s="1"/>
  <c r="M157" i="11" s="1"/>
  <c r="M158" i="11" s="1"/>
  <c r="M159" i="11" s="1"/>
  <c r="M160" i="11" s="1"/>
  <c r="M161" i="11" s="1"/>
  <c r="M162" i="11" s="1"/>
  <c r="M163" i="11" s="1"/>
  <c r="M164" i="11" s="1"/>
  <c r="M165" i="11" s="1"/>
  <c r="M166" i="11" s="1"/>
  <c r="M167" i="11" s="1"/>
  <c r="M168" i="11" s="1"/>
  <c r="M169" i="11" s="1"/>
  <c r="M170" i="11" s="1"/>
  <c r="M171" i="11" s="1"/>
  <c r="M172" i="11" s="1"/>
  <c r="M173" i="11" s="1"/>
  <c r="M174" i="11" s="1"/>
  <c r="M176" i="11" l="1"/>
  <c r="N3" i="13"/>
  <c r="C16" i="13" s="1"/>
  <c r="C60" i="13" l="1"/>
  <c r="D16" i="13"/>
  <c r="D60" i="13" s="1"/>
  <c r="N177" i="13"/>
  <c r="O3" i="13"/>
  <c r="E16" i="13" l="1"/>
  <c r="E60" i="13" s="1"/>
  <c r="O177" i="13"/>
  <c r="O4" i="13"/>
  <c r="O5" i="13" s="1"/>
  <c r="O6" i="13" s="1"/>
  <c r="O7" i="13" s="1"/>
  <c r="O8" i="13" s="1"/>
  <c r="O9" i="13" s="1"/>
  <c r="O10" i="13" s="1"/>
  <c r="O11" i="13" s="1"/>
  <c r="O12" i="13" s="1"/>
  <c r="O13" i="13" s="1"/>
  <c r="O14" i="13" s="1"/>
  <c r="O15" i="13" s="1"/>
  <c r="O16" i="13" s="1"/>
  <c r="O17" i="13" s="1"/>
  <c r="O18" i="13" s="1"/>
  <c r="O19" i="13" s="1"/>
  <c r="O20" i="13" s="1"/>
  <c r="O21" i="13" s="1"/>
  <c r="O22" i="13" s="1"/>
  <c r="O23" i="13" s="1"/>
  <c r="O24" i="13" s="1"/>
  <c r="O25" i="13" s="1"/>
  <c r="O26" i="13" s="1"/>
  <c r="O27" i="13" s="1"/>
  <c r="O28" i="13" s="1"/>
  <c r="O29" i="13" s="1"/>
  <c r="O30" i="13" s="1"/>
  <c r="O31" i="13" s="1"/>
  <c r="O32" i="13" s="1"/>
  <c r="O33" i="13" s="1"/>
  <c r="O34" i="13" s="1"/>
  <c r="O35" i="13" s="1"/>
  <c r="O36" i="13" s="1"/>
  <c r="O37" i="13" s="1"/>
  <c r="O38" i="13" s="1"/>
  <c r="O39" i="13" s="1"/>
  <c r="O40" i="13" s="1"/>
  <c r="O41" i="13" s="1"/>
  <c r="O42" i="13" s="1"/>
  <c r="O43" i="13" s="1"/>
  <c r="O44" i="13" s="1"/>
  <c r="O45" i="13" s="1"/>
  <c r="O46" i="13" s="1"/>
  <c r="O47" i="13" s="1"/>
  <c r="O48" i="13" s="1"/>
  <c r="O49" i="13" s="1"/>
  <c r="O50" i="13" s="1"/>
  <c r="O51" i="13" s="1"/>
  <c r="O52" i="13" s="1"/>
  <c r="O53" i="13" s="1"/>
  <c r="O54" i="13" s="1"/>
  <c r="O55" i="13" s="1"/>
  <c r="O56" i="13" s="1"/>
  <c r="O57" i="13" s="1"/>
  <c r="O58" i="13" s="1"/>
  <c r="O59" i="13" s="1"/>
  <c r="O60" i="13" s="1"/>
  <c r="O61" i="13" s="1"/>
  <c r="O62" i="13" s="1"/>
  <c r="O63" i="13" s="1"/>
  <c r="O64" i="13" s="1"/>
  <c r="O65" i="13" s="1"/>
  <c r="O66" i="13" s="1"/>
  <c r="O67" i="13" s="1"/>
  <c r="O68" i="13" s="1"/>
  <c r="O69" i="13" s="1"/>
  <c r="O70" i="13" s="1"/>
  <c r="O71" i="13" s="1"/>
  <c r="O72" i="13" s="1"/>
  <c r="O73" i="13" s="1"/>
  <c r="O74" i="13" s="1"/>
  <c r="O75" i="13" s="1"/>
  <c r="O76" i="13" s="1"/>
  <c r="O77" i="13" s="1"/>
  <c r="O78" i="13" s="1"/>
  <c r="O79" i="13" s="1"/>
  <c r="O80" i="13" s="1"/>
  <c r="O81" i="13" s="1"/>
  <c r="O82" i="13" s="1"/>
  <c r="O83" i="13" s="1"/>
  <c r="O84" i="13" s="1"/>
  <c r="O85" i="13" s="1"/>
  <c r="O86" i="13" s="1"/>
  <c r="O87" i="13" s="1"/>
  <c r="O88" i="13" s="1"/>
  <c r="O89" i="13" s="1"/>
  <c r="O90" i="13" s="1"/>
  <c r="O91" i="13" s="1"/>
  <c r="O92" i="13" s="1"/>
  <c r="O93" i="13" s="1"/>
  <c r="O94" i="13" s="1"/>
  <c r="O95" i="13" s="1"/>
  <c r="O96" i="13" s="1"/>
  <c r="O97" i="13" s="1"/>
  <c r="O98" i="13" s="1"/>
  <c r="O99" i="13" s="1"/>
  <c r="O100" i="13" s="1"/>
  <c r="O101" i="13" s="1"/>
  <c r="O102" i="13" s="1"/>
  <c r="O103" i="13" s="1"/>
  <c r="O104" i="13" s="1"/>
  <c r="O105" i="13" s="1"/>
  <c r="O106" i="13" s="1"/>
  <c r="O107" i="13" s="1"/>
  <c r="O108" i="13" s="1"/>
  <c r="O109" i="13" s="1"/>
  <c r="O110" i="13" s="1"/>
  <c r="O111" i="13" s="1"/>
  <c r="O112" i="13" s="1"/>
  <c r="O113" i="13" s="1"/>
  <c r="O114" i="13" s="1"/>
  <c r="O115" i="13" s="1"/>
  <c r="O116" i="13" s="1"/>
  <c r="O117" i="13" s="1"/>
  <c r="O118" i="13" s="1"/>
  <c r="O119" i="13" s="1"/>
  <c r="O120" i="13" s="1"/>
  <c r="O121" i="13" s="1"/>
  <c r="O122" i="13" s="1"/>
  <c r="O123" i="13" s="1"/>
  <c r="O124" i="13" s="1"/>
  <c r="O125" i="13" s="1"/>
  <c r="O126" i="13" s="1"/>
  <c r="O127" i="13" s="1"/>
  <c r="O128" i="13" s="1"/>
  <c r="O129" i="13" s="1"/>
  <c r="O130" i="13" s="1"/>
  <c r="O131" i="13" s="1"/>
  <c r="O132" i="13" s="1"/>
  <c r="O133" i="13" s="1"/>
  <c r="O134" i="13" s="1"/>
  <c r="O135" i="13" s="1"/>
  <c r="O136" i="13" s="1"/>
  <c r="O137" i="13" s="1"/>
  <c r="O138" i="13" s="1"/>
  <c r="O139" i="13" s="1"/>
  <c r="O140" i="13" s="1"/>
  <c r="O141" i="13" s="1"/>
  <c r="O142" i="13" s="1"/>
  <c r="O143" i="13" s="1"/>
  <c r="O144" i="13" s="1"/>
  <c r="O145" i="13" s="1"/>
  <c r="O146" i="13" s="1"/>
  <c r="O147" i="13" s="1"/>
  <c r="O148" i="13" s="1"/>
  <c r="O149" i="13" s="1"/>
  <c r="O150" i="13" s="1"/>
  <c r="O151" i="13" s="1"/>
  <c r="O152" i="13" s="1"/>
  <c r="O153" i="13" s="1"/>
  <c r="O154" i="13" s="1"/>
  <c r="O155" i="13" s="1"/>
  <c r="O156" i="13" s="1"/>
  <c r="O157" i="13" s="1"/>
  <c r="O158" i="13" s="1"/>
  <c r="O159" i="13" s="1"/>
  <c r="O160" i="13" s="1"/>
  <c r="O161" i="13" s="1"/>
  <c r="O162" i="13" s="1"/>
  <c r="O163" i="13" s="1"/>
  <c r="O164" i="13" s="1"/>
  <c r="O165" i="13" s="1"/>
  <c r="O166" i="13" s="1"/>
  <c r="O167" i="13" s="1"/>
  <c r="O168" i="13" s="1"/>
  <c r="O169" i="13" s="1"/>
  <c r="O170" i="13" s="1"/>
  <c r="O171" i="13" s="1"/>
  <c r="O172" i="13" s="1"/>
  <c r="O173" i="13" s="1"/>
  <c r="O174" i="13" s="1"/>
  <c r="O175" i="13" s="1"/>
  <c r="O176" i="13" s="1"/>
  <c r="N4" i="15"/>
  <c r="N5" i="15" s="1"/>
  <c r="N6" i="15" s="1"/>
  <c r="N7" i="15" s="1"/>
  <c r="N8" i="15" s="1"/>
  <c r="N9" i="15" s="1"/>
  <c r="N10" i="15" s="1"/>
  <c r="N11" i="15" s="1"/>
  <c r="N12" i="15" s="1"/>
  <c r="N13" i="15" s="1"/>
  <c r="N14" i="15" s="1"/>
  <c r="N15" i="15" s="1"/>
  <c r="N16" i="15" s="1"/>
  <c r="N17" i="15" s="1"/>
  <c r="N18" i="15" s="1"/>
  <c r="N19" i="15" s="1"/>
  <c r="N20" i="15" s="1"/>
  <c r="N21" i="15" s="1"/>
  <c r="N22" i="15" s="1"/>
  <c r="N23" i="15" s="1"/>
  <c r="N24" i="15" s="1"/>
  <c r="N25" i="15" s="1"/>
  <c r="N26" i="15" s="1"/>
  <c r="N27" i="15" s="1"/>
  <c r="N28" i="15" s="1"/>
  <c r="N29" i="15" s="1"/>
  <c r="N30" i="15" s="1"/>
  <c r="N31" i="15" s="1"/>
  <c r="N32" i="15" s="1"/>
  <c r="N33" i="15" s="1"/>
  <c r="N34" i="15" s="1"/>
  <c r="N35" i="15" s="1"/>
  <c r="N36" i="15" s="1"/>
  <c r="N37" i="15" s="1"/>
  <c r="N38" i="15" s="1"/>
  <c r="N39" i="15" s="1"/>
  <c r="N40" i="15" s="1"/>
  <c r="N41" i="15" s="1"/>
  <c r="N42" i="15" s="1"/>
  <c r="N43" i="15" s="1"/>
  <c r="N44" i="15" s="1"/>
  <c r="N45" i="15" s="1"/>
  <c r="N46" i="15" s="1"/>
  <c r="N47" i="15" s="1"/>
  <c r="N48" i="15" s="1"/>
  <c r="N49" i="15" s="1"/>
  <c r="N50" i="15" s="1"/>
  <c r="N51" i="15" s="1"/>
  <c r="N52" i="15" s="1"/>
  <c r="N53" i="15" s="1"/>
  <c r="N54" i="15" s="1"/>
  <c r="N55" i="15" s="1"/>
  <c r="N56" i="15" s="1"/>
  <c r="N57" i="15" s="1"/>
  <c r="N58" i="15" s="1"/>
  <c r="N59" i="15" s="1"/>
  <c r="N60" i="15" s="1"/>
  <c r="N61" i="15" s="1"/>
  <c r="N62" i="15" s="1"/>
  <c r="N63" i="15" s="1"/>
  <c r="N64" i="15" s="1"/>
  <c r="N65" i="15" s="1"/>
  <c r="N66" i="15" s="1"/>
  <c r="N67" i="15" s="1"/>
  <c r="N68" i="15" s="1"/>
  <c r="N69" i="15" s="1"/>
  <c r="N70" i="15" s="1"/>
  <c r="N71" i="15" s="1"/>
  <c r="N72" i="15" s="1"/>
  <c r="N73" i="15" s="1"/>
  <c r="N74" i="15" s="1"/>
  <c r="N75" i="15" s="1"/>
  <c r="N76" i="15" s="1"/>
  <c r="N77" i="15" s="1"/>
  <c r="N78" i="15" s="1"/>
  <c r="N79" i="15" s="1"/>
  <c r="N80" i="15" s="1"/>
  <c r="N81" i="15" s="1"/>
  <c r="N82" i="15" s="1"/>
  <c r="N83" i="15" s="1"/>
  <c r="N84" i="15" s="1"/>
  <c r="N85" i="15" s="1"/>
  <c r="N86" i="15" s="1"/>
  <c r="N87" i="15" s="1"/>
  <c r="N88" i="15" s="1"/>
  <c r="N89" i="15" s="1"/>
  <c r="N90" i="15" s="1"/>
  <c r="N91" i="15" s="1"/>
  <c r="N92" i="15" s="1"/>
  <c r="N93" i="15" s="1"/>
  <c r="N94" i="15" s="1"/>
  <c r="N95" i="15" s="1"/>
  <c r="N96" i="15" s="1"/>
  <c r="N97" i="15" s="1"/>
  <c r="N98" i="15" s="1"/>
  <c r="N99" i="15" s="1"/>
  <c r="N100" i="15" s="1"/>
  <c r="N101" i="15" s="1"/>
  <c r="N102" i="15" s="1"/>
  <c r="N103" i="15" s="1"/>
  <c r="N104" i="15" s="1"/>
  <c r="N105" i="15" s="1"/>
  <c r="N106" i="15" s="1"/>
  <c r="N107" i="15" s="1"/>
  <c r="N108" i="15" s="1"/>
  <c r="N109" i="15" s="1"/>
  <c r="N110" i="15" s="1"/>
  <c r="N111" i="15" s="1"/>
  <c r="N112" i="15" s="1"/>
  <c r="N113" i="15" s="1"/>
  <c r="N114" i="15" s="1"/>
  <c r="N115" i="15" s="1"/>
  <c r="N116" i="15" s="1"/>
  <c r="N117" i="15" s="1"/>
  <c r="N118" i="15" s="1"/>
  <c r="N119" i="15" s="1"/>
  <c r="N120" i="15" s="1"/>
  <c r="N121" i="15" s="1"/>
  <c r="N122" i="15" s="1"/>
  <c r="N123" i="15" s="1"/>
  <c r="N124" i="15" s="1"/>
  <c r="N125" i="15" s="1"/>
  <c r="N126" i="15" s="1"/>
  <c r="N127" i="15" s="1"/>
  <c r="N128" i="15" s="1"/>
  <c r="N129" i="15" s="1"/>
  <c r="N130" i="15" s="1"/>
  <c r="N131" i="15" s="1"/>
  <c r="N132" i="15" s="1"/>
  <c r="N133" i="15" s="1"/>
  <c r="N134" i="15" s="1"/>
  <c r="N135" i="15" s="1"/>
  <c r="N136" i="15" s="1"/>
  <c r="N137" i="15" s="1"/>
  <c r="N138" i="15" s="1"/>
  <c r="N139" i="15" s="1"/>
  <c r="N140" i="15" s="1"/>
  <c r="N141" i="15" s="1"/>
  <c r="N142" i="15" s="1"/>
  <c r="N143" i="15" s="1"/>
  <c r="N144" i="15" s="1"/>
  <c r="N145" i="15" s="1"/>
  <c r="N146" i="15" s="1"/>
  <c r="N147" i="15" s="1"/>
  <c r="N148" i="15" s="1"/>
  <c r="N149" i="15" s="1"/>
  <c r="N150" i="15" s="1"/>
  <c r="N151" i="15" s="1"/>
  <c r="N152" i="15" s="1"/>
  <c r="N153" i="15" s="1"/>
  <c r="N154" i="15" s="1"/>
  <c r="N155" i="15" s="1"/>
  <c r="N156" i="15" s="1"/>
  <c r="N157" i="15" s="1"/>
  <c r="N158" i="15" s="1"/>
  <c r="N159" i="15" s="1"/>
  <c r="N160" i="15" s="1"/>
  <c r="N161" i="15" s="1"/>
  <c r="N162" i="15" s="1"/>
  <c r="N163" i="15" s="1"/>
  <c r="N164" i="15" s="1"/>
  <c r="N165" i="15" s="1"/>
  <c r="N166" i="15" s="1"/>
  <c r="N167" i="15" s="1"/>
  <c r="N168" i="15" s="1"/>
  <c r="N169" i="15" s="1"/>
  <c r="N170" i="15" s="1"/>
  <c r="N171" i="15" s="1"/>
  <c r="N172" i="15" s="1"/>
  <c r="N173" i="15" s="1"/>
  <c r="N174" i="15" s="1"/>
  <c r="N175" i="15" s="1"/>
  <c r="N176" i="15" s="1"/>
  <c r="N177" i="15" s="1"/>
  <c r="N178" i="15" s="1"/>
  <c r="N179" i="15" s="1"/>
  <c r="N180" i="15" s="1"/>
  <c r="N181" i="15" s="1"/>
  <c r="N182" i="15" s="1"/>
  <c r="N183" i="15" s="1"/>
  <c r="N184" i="15" s="1"/>
  <c r="N185" i="15" s="1"/>
  <c r="N186" i="15" s="1"/>
  <c r="N187" i="15" s="1"/>
  <c r="P7" i="15"/>
  <c r="P8" i="15" s="1"/>
  <c r="P9" i="15" s="1"/>
  <c r="P10" i="15" s="1"/>
  <c r="P11" i="15" s="1"/>
  <c r="P12" i="15" s="1"/>
  <c r="P13" i="15" s="1"/>
  <c r="P14" i="15" s="1"/>
  <c r="P15" i="15" s="1"/>
  <c r="P16" i="15" s="1"/>
  <c r="P17" i="15" s="1"/>
  <c r="P18" i="15" s="1"/>
  <c r="P19" i="15" s="1"/>
  <c r="P20" i="15" s="1"/>
  <c r="P21" i="15" s="1"/>
  <c r="P22" i="15" s="1"/>
  <c r="P23" i="15" s="1"/>
  <c r="P24" i="15" s="1"/>
  <c r="P25" i="15" s="1"/>
  <c r="P26" i="15" s="1"/>
  <c r="P27" i="15" s="1"/>
  <c r="P28" i="15" s="1"/>
  <c r="P29" i="15" s="1"/>
  <c r="P30" i="15" s="1"/>
  <c r="P31" i="15" s="1"/>
  <c r="P32" i="15" s="1"/>
  <c r="P33" i="15" s="1"/>
  <c r="P34" i="15" s="1"/>
  <c r="P35" i="15" s="1"/>
  <c r="P36" i="15" s="1"/>
  <c r="P37" i="15" s="1"/>
  <c r="P38" i="15" s="1"/>
  <c r="P39" i="15" s="1"/>
  <c r="P40" i="15" s="1"/>
  <c r="P41" i="15" s="1"/>
  <c r="P42" i="15" s="1"/>
  <c r="P43" i="15" s="1"/>
  <c r="P44" i="15" s="1"/>
  <c r="P45" i="15" s="1"/>
  <c r="P46" i="15" s="1"/>
  <c r="P47" i="15" s="1"/>
  <c r="P48" i="15" s="1"/>
  <c r="P49" i="15" s="1"/>
  <c r="P50" i="15" s="1"/>
  <c r="P51" i="15" s="1"/>
  <c r="P52" i="15" s="1"/>
  <c r="P53" i="15" s="1"/>
  <c r="P54" i="15" s="1"/>
  <c r="P55" i="15" s="1"/>
  <c r="P56" i="15" s="1"/>
  <c r="P57" i="15" s="1"/>
  <c r="P58" i="15" s="1"/>
  <c r="P59" i="15" s="1"/>
  <c r="P60" i="15" s="1"/>
  <c r="P61" i="15" s="1"/>
  <c r="P62" i="15" s="1"/>
  <c r="P63" i="15" s="1"/>
  <c r="P64" i="15" s="1"/>
  <c r="P65" i="15" s="1"/>
  <c r="P66" i="15" s="1"/>
  <c r="P67" i="15" s="1"/>
  <c r="P68" i="15" s="1"/>
  <c r="P69" i="15" s="1"/>
  <c r="P70" i="15" s="1"/>
  <c r="P71" i="15" s="1"/>
  <c r="P72" i="15" s="1"/>
  <c r="P73" i="15" s="1"/>
  <c r="P74" i="15" s="1"/>
  <c r="P75" i="15" s="1"/>
  <c r="P76" i="15" s="1"/>
  <c r="P77" i="15" s="1"/>
  <c r="P78" i="15" s="1"/>
  <c r="P79" i="15" s="1"/>
  <c r="P80" i="15" s="1"/>
  <c r="P81" i="15" s="1"/>
  <c r="P82" i="15" s="1"/>
  <c r="P83" i="15" s="1"/>
  <c r="P84" i="15" s="1"/>
  <c r="P85" i="15" s="1"/>
  <c r="P86" i="15" s="1"/>
  <c r="P87" i="15" s="1"/>
  <c r="P88" i="15" s="1"/>
  <c r="P89" i="15" s="1"/>
  <c r="P90" i="15" s="1"/>
  <c r="P91" i="15" s="1"/>
  <c r="P92" i="15" s="1"/>
  <c r="P93" i="15" s="1"/>
  <c r="P94" i="15" s="1"/>
  <c r="P95" i="15" s="1"/>
  <c r="P96" i="15" s="1"/>
  <c r="P97" i="15" s="1"/>
  <c r="P98" i="15" s="1"/>
  <c r="P99" i="15" s="1"/>
  <c r="P100" i="15" s="1"/>
  <c r="P101" i="15" s="1"/>
  <c r="P102" i="15" s="1"/>
  <c r="P103" i="15" s="1"/>
  <c r="P104" i="15" s="1"/>
  <c r="P105" i="15" s="1"/>
  <c r="P106" i="15" s="1"/>
  <c r="P107" i="15" s="1"/>
  <c r="P108" i="15" s="1"/>
  <c r="P109" i="15" s="1"/>
  <c r="P110" i="15" s="1"/>
  <c r="P111" i="15" s="1"/>
  <c r="P112" i="15" s="1"/>
  <c r="P113" i="15" s="1"/>
  <c r="P114" i="15" s="1"/>
  <c r="P115" i="15" s="1"/>
  <c r="P116" i="15" s="1"/>
  <c r="P117" i="15" s="1"/>
  <c r="P118" i="15" s="1"/>
  <c r="P119" i="15" s="1"/>
  <c r="P120" i="15" s="1"/>
  <c r="P121" i="15" s="1"/>
  <c r="P122" i="15" s="1"/>
  <c r="P123" i="15" s="1"/>
  <c r="P124" i="15" s="1"/>
  <c r="P125" i="15" s="1"/>
  <c r="P126" i="15" s="1"/>
  <c r="P127" i="15" s="1"/>
  <c r="P128" i="15" s="1"/>
  <c r="P129" i="15" s="1"/>
  <c r="P130" i="15" s="1"/>
  <c r="P131" i="15" s="1"/>
  <c r="P132" i="15" s="1"/>
  <c r="P133" i="15" s="1"/>
  <c r="P134" i="15" s="1"/>
  <c r="P135" i="15" s="1"/>
  <c r="P136" i="15" s="1"/>
  <c r="P137" i="15" s="1"/>
  <c r="P138" i="15" s="1"/>
  <c r="P139" i="15" s="1"/>
  <c r="P140" i="15" s="1"/>
  <c r="P141" i="15" s="1"/>
  <c r="P142" i="15" s="1"/>
  <c r="P143" i="15" s="1"/>
  <c r="P144" i="15" s="1"/>
  <c r="P145" i="15" s="1"/>
  <c r="P146" i="15" s="1"/>
  <c r="P147" i="15" s="1"/>
  <c r="P148" i="15" s="1"/>
  <c r="P149" i="15" s="1"/>
  <c r="P150" i="15" s="1"/>
  <c r="P151" i="15" s="1"/>
  <c r="P152" i="15" s="1"/>
  <c r="P153" i="15" s="1"/>
  <c r="P154" i="15" s="1"/>
  <c r="P155" i="15" s="1"/>
  <c r="P156" i="15" s="1"/>
  <c r="P157" i="15" s="1"/>
  <c r="P158" i="15" s="1"/>
  <c r="P159" i="15" s="1"/>
  <c r="P160" i="15" s="1"/>
  <c r="P161" i="15" s="1"/>
  <c r="P162" i="15" s="1"/>
  <c r="P163" i="15" s="1"/>
  <c r="P164" i="15" s="1"/>
  <c r="P165" i="15" s="1"/>
  <c r="P166" i="15" s="1"/>
  <c r="P167" i="15" s="1"/>
  <c r="P168" i="15" s="1"/>
  <c r="P169" i="15" s="1"/>
  <c r="P170" i="15" s="1"/>
  <c r="P171" i="15" s="1"/>
  <c r="P172" i="15" s="1"/>
  <c r="P173" i="15" s="1"/>
  <c r="P174" i="15" s="1"/>
  <c r="P175" i="15" s="1"/>
  <c r="P176" i="15" s="1"/>
  <c r="P177" i="15" s="1"/>
  <c r="P178" i="15" s="1"/>
  <c r="P179" i="15" s="1"/>
  <c r="P180" i="15" s="1"/>
  <c r="P181" i="15" s="1"/>
  <c r="P182" i="15" s="1"/>
  <c r="P183" i="15" s="1"/>
  <c r="P184" i="15" s="1"/>
  <c r="P185" i="15" s="1"/>
  <c r="P186" i="15" s="1"/>
  <c r="P187" i="15" s="1"/>
  <c r="P188" i="15" l="1"/>
  <c r="P189" i="15" s="1"/>
  <c r="P190" i="15" s="1"/>
  <c r="P191" i="15" s="1"/>
  <c r="P192" i="15" s="1"/>
  <c r="P193" i="15" s="1"/>
  <c r="P194" i="15" s="1"/>
  <c r="P195" i="15" s="1"/>
  <c r="P196" i="15" s="1"/>
  <c r="P197" i="15" s="1"/>
  <c r="P198" i="15" s="1"/>
  <c r="P199" i="15" s="1"/>
  <c r="P200" i="15" s="1"/>
  <c r="P201" i="15" s="1"/>
  <c r="P202" i="15" s="1"/>
  <c r="P203" i="15" s="1"/>
  <c r="N188" i="15"/>
  <c r="N189" i="15" s="1"/>
  <c r="N190" i="15" s="1"/>
  <c r="N191" i="15" s="1"/>
  <c r="N192" i="15" s="1"/>
  <c r="N193" i="15" s="1"/>
  <c r="N194" i="15" s="1"/>
  <c r="N195" i="15" s="1"/>
  <c r="N196" i="15" s="1"/>
  <c r="N197" i="15" s="1"/>
  <c r="N198" i="15" s="1"/>
  <c r="N199" i="15" s="1"/>
  <c r="N200" i="15" s="1"/>
  <c r="N201" i="15" s="1"/>
  <c r="N202" i="15" s="1"/>
  <c r="N203" i="15" s="1"/>
</calcChain>
</file>

<file path=xl/sharedStrings.xml><?xml version="1.0" encoding="utf-8"?>
<sst xmlns="http://schemas.openxmlformats.org/spreadsheetml/2006/main" count="4776" uniqueCount="1102">
  <si>
    <t>Total</t>
  </si>
  <si>
    <t>Date</t>
  </si>
  <si>
    <t>Description</t>
  </si>
  <si>
    <t>Balance</t>
  </si>
  <si>
    <t>Category</t>
  </si>
  <si>
    <t>Beginning Balance</t>
  </si>
  <si>
    <t>Credit Card</t>
  </si>
  <si>
    <t>Groceries</t>
  </si>
  <si>
    <t>Utilities</t>
  </si>
  <si>
    <t>Insurance</t>
  </si>
  <si>
    <t>Mortgage</t>
  </si>
  <si>
    <t>Deposit</t>
  </si>
  <si>
    <t>Check #</t>
  </si>
  <si>
    <t>Home Mortgage</t>
  </si>
  <si>
    <t>Other</t>
  </si>
  <si>
    <t>Check Register</t>
  </si>
  <si>
    <t>Paycheck</t>
  </si>
  <si>
    <t>Totals</t>
  </si>
  <si>
    <t>Summary</t>
  </si>
  <si>
    <t>Mutual fund investment</t>
  </si>
  <si>
    <t>The Phone Company</t>
  </si>
  <si>
    <t>Withdrawal</t>
  </si>
  <si>
    <t>Grocery Store</t>
  </si>
  <si>
    <t>Gas and Electric Company</t>
  </si>
  <si>
    <t>Coffee Shop</t>
  </si>
  <si>
    <r>
      <t xml:space="preserve">It's important to know that after you have inserted a row between existing rows, you'll need to fix the formula in the row below the new row. Do this by dragging the formula in the </t>
    </r>
    <r>
      <rPr>
        <b/>
        <sz val="10"/>
        <rFont val="Corbel"/>
        <family val="2"/>
        <scheme val="minor"/>
      </rPr>
      <t>Balance</t>
    </r>
    <r>
      <rPr>
        <sz val="10"/>
        <rFont val="Corbel"/>
        <family val="2"/>
        <scheme val="minor"/>
      </rPr>
      <t xml:space="preserve"> column to the cell in the row below it.
You can further customize your check register by adding your own categories. Do this by following the same steps for inserting a new row in the register, but be sure that you do this in the Category table. To delete categories that you won't use, delete the row in the Category table. Any transactions that had that category value in the </t>
    </r>
    <r>
      <rPr>
        <b/>
        <sz val="10"/>
        <rFont val="Corbel"/>
        <family val="2"/>
        <scheme val="minor"/>
      </rPr>
      <t>Category</t>
    </r>
    <r>
      <rPr>
        <sz val="10"/>
        <rFont val="Corbel"/>
        <family val="2"/>
        <scheme val="minor"/>
      </rPr>
      <t xml:space="preserve"> column of the register won't change or disappear, but that category won't be available to use in the future.</t>
    </r>
  </si>
  <si>
    <t>Debit</t>
  </si>
  <si>
    <t>ATM</t>
  </si>
  <si>
    <t>Cash</t>
  </si>
  <si>
    <r>
      <t xml:space="preserve">You can add a new row to the end of the register by positioning your cursor or mouse pointer in the last used cell in the </t>
    </r>
    <r>
      <rPr>
        <b/>
        <sz val="10"/>
        <rFont val="Corbel"/>
        <family val="2"/>
        <scheme val="minor"/>
      </rPr>
      <t>Balance</t>
    </r>
    <r>
      <rPr>
        <sz val="10"/>
        <rFont val="Corbel"/>
        <family val="2"/>
        <scheme val="minor"/>
      </rPr>
      <t xml:space="preserve"> column and then pressing the TAB key. If you need to insert a row between existing rows in the register, do the following:
  1.  Select a cell in the row below where you want to insert the new row.
  2.  On the </t>
    </r>
    <r>
      <rPr>
        <b/>
        <sz val="10"/>
        <rFont val="Corbel"/>
        <family val="2"/>
        <scheme val="minor"/>
      </rPr>
      <t>Home</t>
    </r>
    <r>
      <rPr>
        <sz val="10"/>
        <rFont val="Corbel"/>
        <family val="2"/>
        <scheme val="minor"/>
      </rPr>
      <t xml:space="preserve"> tab, in the </t>
    </r>
    <r>
      <rPr>
        <b/>
        <sz val="10"/>
        <rFont val="Corbel"/>
        <family val="2"/>
        <scheme val="minor"/>
      </rPr>
      <t>Cells</t>
    </r>
    <r>
      <rPr>
        <sz val="10"/>
        <rFont val="Corbel"/>
        <family val="2"/>
        <scheme val="minor"/>
      </rPr>
      <t xml:space="preserve"> group, point to </t>
    </r>
    <r>
      <rPr>
        <b/>
        <sz val="10"/>
        <rFont val="Corbel"/>
        <family val="2"/>
        <scheme val="minor"/>
      </rPr>
      <t>Insert.</t>
    </r>
    <r>
      <rPr>
        <sz val="10"/>
        <rFont val="Corbel"/>
        <family val="2"/>
        <scheme val="minor"/>
      </rPr>
      <t xml:space="preserve"> Or, you can right-click the mouse and click </t>
    </r>
    <r>
      <rPr>
        <b/>
        <sz val="10"/>
        <rFont val="Corbel"/>
        <family val="2"/>
        <scheme val="minor"/>
      </rPr>
      <t>Insert.</t>
    </r>
    <r>
      <rPr>
        <sz val="10"/>
        <rFont val="Corbel"/>
        <family val="2"/>
        <scheme val="minor"/>
      </rPr>
      <t xml:space="preserve">
  3.  Click </t>
    </r>
    <r>
      <rPr>
        <b/>
        <sz val="10"/>
        <rFont val="Corbel"/>
        <family val="2"/>
        <scheme val="minor"/>
      </rPr>
      <t>Insert Table Rows Above</t>
    </r>
    <r>
      <rPr>
        <sz val="10"/>
        <rFont val="Corbel"/>
        <family val="2"/>
        <scheme val="minor"/>
      </rPr>
      <t>.</t>
    </r>
  </si>
  <si>
    <t>Investment</t>
  </si>
  <si>
    <r>
      <rPr>
        <b/>
        <sz val="14"/>
        <rFont val="Corbel"/>
        <family val="2"/>
        <scheme val="minor"/>
      </rPr>
      <t>Get started using the electronic check register</t>
    </r>
    <r>
      <rPr>
        <sz val="10"/>
        <rFont val="Corbel"/>
        <family val="2"/>
        <scheme val="minor"/>
      </rPr>
      <t xml:space="preserve">
Use this electronic check register to record your payments, purchases, deposits, and any interest you earn in your checking account. As you choose a category in the </t>
    </r>
    <r>
      <rPr>
        <b/>
        <sz val="10"/>
        <rFont val="Corbel"/>
        <family val="2"/>
        <scheme val="minor"/>
      </rPr>
      <t>Category</t>
    </r>
    <r>
      <rPr>
        <sz val="10"/>
        <rFont val="Corbel"/>
        <family val="2"/>
        <scheme val="minor"/>
      </rPr>
      <t xml:space="preserve"> column for any payment or purchase amounts that you enter, the category slices in the pie chart are updated to show where your money goes. And best of all, this check register always keeps the correct running balance for you.
To get started, type your account number in cell B2 on the Checkbook Register tab, and replace the value in the first cell of the </t>
    </r>
    <r>
      <rPr>
        <b/>
        <sz val="10"/>
        <rFont val="Corbel"/>
        <family val="2"/>
        <scheme val="minor"/>
      </rPr>
      <t>Deposit</t>
    </r>
    <r>
      <rPr>
        <sz val="10"/>
        <rFont val="Corbel"/>
        <family val="2"/>
        <scheme val="minor"/>
      </rPr>
      <t xml:space="preserve"> column with your own beginning balance. The </t>
    </r>
    <r>
      <rPr>
        <b/>
        <sz val="10"/>
        <rFont val="Corbel"/>
        <family val="2"/>
        <scheme val="minor"/>
      </rPr>
      <t>Balance</t>
    </r>
    <r>
      <rPr>
        <sz val="10"/>
        <rFont val="Corbel"/>
        <family val="2"/>
        <scheme val="minor"/>
      </rPr>
      <t xml:space="preserve"> column automatically updates to show your current balance. Then replace the first few sample entries in the register with your own entries. Make sure you don't overwrite the </t>
    </r>
    <r>
      <rPr>
        <i/>
        <sz val="10"/>
        <rFont val="Corbel"/>
        <family val="2"/>
        <scheme val="minor"/>
      </rPr>
      <t>formulas</t>
    </r>
    <r>
      <rPr>
        <sz val="10"/>
        <rFont val="Corbel"/>
        <family val="2"/>
        <scheme val="minor"/>
      </rPr>
      <t xml:space="preserve"> in the </t>
    </r>
    <r>
      <rPr>
        <b/>
        <sz val="10"/>
        <rFont val="Corbel"/>
        <family val="2"/>
        <scheme val="minor"/>
      </rPr>
      <t>Balance</t>
    </r>
    <r>
      <rPr>
        <sz val="10"/>
        <rFont val="Corbel"/>
        <family val="2"/>
        <scheme val="minor"/>
      </rPr>
      <t xml:space="preserve"> column. Take a look at the Sample tab to see how the register and the expense chart look with a few more sample transactions entered.
Because this template uses Excel tables, it's easy to add and remove rows, and any formulas in those tables are easy to work with. And the alternate shading of rows in tables is a built-in feature!
As you make payments or purchases, enter your check or transaction number in the </t>
    </r>
    <r>
      <rPr>
        <b/>
        <sz val="10"/>
        <rFont val="Corbel"/>
        <family val="2"/>
        <scheme val="minor"/>
      </rPr>
      <t>Check #</t>
    </r>
    <r>
      <rPr>
        <sz val="10"/>
        <rFont val="Corbel"/>
        <family val="2"/>
        <scheme val="minor"/>
      </rPr>
      <t xml:space="preserve"> column, type a date in the </t>
    </r>
    <r>
      <rPr>
        <b/>
        <sz val="10"/>
        <rFont val="Corbel"/>
        <family val="2"/>
        <scheme val="minor"/>
      </rPr>
      <t>Date</t>
    </r>
    <r>
      <rPr>
        <sz val="10"/>
        <rFont val="Corbel"/>
        <family val="2"/>
        <scheme val="minor"/>
      </rPr>
      <t xml:space="preserve"> column, type a description in the </t>
    </r>
    <r>
      <rPr>
        <b/>
        <sz val="10"/>
        <rFont val="Corbel"/>
        <family val="2"/>
        <scheme val="minor"/>
      </rPr>
      <t>Description</t>
    </r>
    <r>
      <rPr>
        <sz val="10"/>
        <rFont val="Corbel"/>
        <family val="2"/>
        <scheme val="minor"/>
      </rPr>
      <t xml:space="preserve"> column, choose a category from the dropdown list in the </t>
    </r>
    <r>
      <rPr>
        <b/>
        <sz val="10"/>
        <rFont val="Corbel"/>
        <family val="2"/>
        <scheme val="minor"/>
      </rPr>
      <t>Category</t>
    </r>
    <r>
      <rPr>
        <sz val="10"/>
        <rFont val="Corbel"/>
        <family val="2"/>
        <scheme val="minor"/>
      </rPr>
      <t xml:space="preserve"> column, and type the amount in the </t>
    </r>
    <r>
      <rPr>
        <b/>
        <sz val="10"/>
        <rFont val="Corbel"/>
        <family val="2"/>
        <scheme val="minor"/>
      </rPr>
      <t>Withdrawal</t>
    </r>
    <r>
      <rPr>
        <sz val="10"/>
        <rFont val="Corbel"/>
        <family val="2"/>
        <scheme val="minor"/>
      </rPr>
      <t xml:space="preserve"> column.
Make sure you enter only a positive amount in the </t>
    </r>
    <r>
      <rPr>
        <b/>
        <sz val="10"/>
        <rFont val="Corbel"/>
        <family val="2"/>
        <scheme val="minor"/>
      </rPr>
      <t>Withdrawal</t>
    </r>
    <r>
      <rPr>
        <sz val="10"/>
        <rFont val="Corbel"/>
        <family val="2"/>
        <scheme val="minor"/>
      </rPr>
      <t xml:space="preserve"> and </t>
    </r>
    <r>
      <rPr>
        <b/>
        <sz val="10"/>
        <rFont val="Corbel"/>
        <family val="2"/>
        <scheme val="minor"/>
      </rPr>
      <t>Deposit</t>
    </r>
    <r>
      <rPr>
        <sz val="10"/>
        <rFont val="Corbel"/>
        <family val="2"/>
        <scheme val="minor"/>
      </rPr>
      <t xml:space="preserve"> columns – the formula in the </t>
    </r>
    <r>
      <rPr>
        <b/>
        <sz val="10"/>
        <rFont val="Corbel"/>
        <family val="2"/>
        <scheme val="minor"/>
      </rPr>
      <t>Balance</t>
    </r>
    <r>
      <rPr>
        <sz val="10"/>
        <rFont val="Corbel"/>
        <family val="2"/>
        <scheme val="minor"/>
      </rPr>
      <t xml:space="preserve"> column always subtracts withdrawals and adds deposits. No need to enter negative values!
As you make deposits or record any earned interest, enter those amounts in the </t>
    </r>
    <r>
      <rPr>
        <b/>
        <sz val="10"/>
        <rFont val="Corbel"/>
        <family val="2"/>
        <scheme val="minor"/>
      </rPr>
      <t>Deposit</t>
    </r>
    <r>
      <rPr>
        <sz val="10"/>
        <rFont val="Corbel"/>
        <family val="2"/>
        <scheme val="minor"/>
      </rPr>
      <t xml:space="preserve"> column. Enter a date and description, and make sure you choose </t>
    </r>
    <r>
      <rPr>
        <b/>
        <sz val="10"/>
        <rFont val="Corbel"/>
        <family val="2"/>
        <scheme val="minor"/>
      </rPr>
      <t>Deposit</t>
    </r>
    <r>
      <rPr>
        <sz val="10"/>
        <rFont val="Corbel"/>
        <family val="2"/>
        <scheme val="minor"/>
      </rPr>
      <t xml:space="preserve"> from the dropdown list in the </t>
    </r>
    <r>
      <rPr>
        <b/>
        <sz val="10"/>
        <rFont val="Corbel"/>
        <family val="2"/>
        <scheme val="minor"/>
      </rPr>
      <t>Category</t>
    </r>
    <r>
      <rPr>
        <sz val="10"/>
        <rFont val="Corbel"/>
        <family val="2"/>
        <scheme val="minor"/>
      </rPr>
      <t xml:space="preserve"> column. It's important to choose </t>
    </r>
    <r>
      <rPr>
        <b/>
        <sz val="10"/>
        <rFont val="Corbel"/>
        <family val="2"/>
        <scheme val="minor"/>
      </rPr>
      <t>Deposit</t>
    </r>
    <r>
      <rPr>
        <sz val="10"/>
        <rFont val="Corbel"/>
        <family val="2"/>
        <scheme val="minor"/>
      </rPr>
      <t xml:space="preserve"> for any deposits or other non-expense related items, because you don't want those amounts calculated in the pie chart that shows your outflow of funds.</t>
    </r>
  </si>
  <si>
    <t>Group Donations</t>
  </si>
  <si>
    <t>Activities Inc</t>
  </si>
  <si>
    <t>Activities Exp</t>
  </si>
  <si>
    <t>Equipment Exp</t>
  </si>
  <si>
    <t>Carry the Mssg</t>
  </si>
  <si>
    <t>GSR Orientation</t>
  </si>
  <si>
    <t>H&amp;I</t>
  </si>
  <si>
    <t>Meeting Lists</t>
  </si>
  <si>
    <t>New Meeting Pkts</t>
  </si>
  <si>
    <t>Phone Line</t>
  </si>
  <si>
    <t>Bank Chgs</t>
  </si>
  <si>
    <t>Meeting Rm Rent</t>
  </si>
  <si>
    <t>Misc Expense</t>
  </si>
  <si>
    <t>PO Box Rental</t>
  </si>
  <si>
    <t>Storage Rent</t>
  </si>
  <si>
    <t>ASC Meeting Expenses</t>
  </si>
  <si>
    <t>The Call</t>
  </si>
  <si>
    <t>Chair Expense</t>
  </si>
  <si>
    <t>Vice Chair Expense</t>
  </si>
  <si>
    <t>RCM-RCMA Expense</t>
  </si>
  <si>
    <t>Secretary Expense</t>
  </si>
  <si>
    <t>Treasurer Expense</t>
  </si>
  <si>
    <t>Web Publisher</t>
  </si>
  <si>
    <t>Prudent Reserve</t>
  </si>
  <si>
    <t>Vermilion Reserve</t>
  </si>
  <si>
    <t>Special Reserve</t>
  </si>
  <si>
    <t>60% NA Minnesota Region</t>
  </si>
  <si>
    <t>40% NA World Service</t>
  </si>
  <si>
    <t>Vermilion Merch Inc</t>
  </si>
  <si>
    <t>Vermilion Reg Inc</t>
  </si>
  <si>
    <t>Vermilion  Adult Games</t>
  </si>
  <si>
    <t>Vermilion Banner</t>
  </si>
  <si>
    <t>Vermilion Kids Games</t>
  </si>
  <si>
    <t>Vermilion Kids Crafts</t>
  </si>
  <si>
    <t>Vermilion Kitchen</t>
  </si>
  <si>
    <t>Vermilion Merchandise</t>
  </si>
  <si>
    <t>Vermilion Programming</t>
  </si>
  <si>
    <t>Vermilion Camp Fees</t>
  </si>
  <si>
    <t>Vermilion Reg Exp</t>
  </si>
  <si>
    <t>Vermilion Chair/Treasurer</t>
  </si>
  <si>
    <t>Vermilion Newcomer Exp</t>
  </si>
  <si>
    <t>Vermilion Travel Exp</t>
  </si>
  <si>
    <t>Vermilion Misc</t>
  </si>
  <si>
    <t>Budget</t>
  </si>
  <si>
    <t>Difference</t>
  </si>
  <si>
    <t>Vermilion</t>
  </si>
  <si>
    <t>Activities</t>
  </si>
  <si>
    <t>NAWS</t>
  </si>
  <si>
    <t>MNRSC</t>
  </si>
  <si>
    <t>Voyagers Luthern Minnistgries</t>
  </si>
  <si>
    <t>EZ Storage</t>
  </si>
  <si>
    <t>St Mary's Star of the Sea</t>
  </si>
  <si>
    <t>Marvella Davis</t>
  </si>
  <si>
    <t>ISD #709</t>
  </si>
  <si>
    <t>US Postal Service</t>
  </si>
  <si>
    <t>VOID</t>
  </si>
  <si>
    <t>Replaced Void Ck #3010 Last year</t>
  </si>
  <si>
    <t>Deposit Donations (42.14 Last year Business)</t>
  </si>
  <si>
    <t>Interest Earned</t>
  </si>
  <si>
    <t>Interest Income</t>
  </si>
  <si>
    <t>Peace Church</t>
  </si>
  <si>
    <t>ISD 709</t>
  </si>
  <si>
    <t>On The Limit</t>
  </si>
  <si>
    <t>MNNAC XX</t>
  </si>
  <si>
    <t>Charles Covington February Meeting</t>
  </si>
  <si>
    <t>NAWS 0214308</t>
  </si>
  <si>
    <t>NAWS 0219318 Two Harbors Mtg</t>
  </si>
  <si>
    <t xml:space="preserve">Deposit Donations </t>
  </si>
  <si>
    <t>Deposit Activities New Years Eve</t>
  </si>
  <si>
    <t>x</t>
  </si>
  <si>
    <t>Column1</t>
  </si>
  <si>
    <t>Lindsey Hella Void Check</t>
  </si>
  <si>
    <t>Marvella Davis Replace Ck 2024</t>
  </si>
  <si>
    <t>Start of the Sea</t>
  </si>
  <si>
    <t>Tracy Petrangelo(start up money)</t>
  </si>
  <si>
    <t>Marvella Tracy Convention Expense</t>
  </si>
  <si>
    <t>void</t>
  </si>
  <si>
    <t>Bill Me Later Coffee Urn</t>
  </si>
  <si>
    <t>Bill Me Later (Coffee Urn $119.95 $291.95 Pop Corn Maker)</t>
  </si>
  <si>
    <t>Deposit For Naws order From Two Har</t>
  </si>
  <si>
    <t>Deposit For RCMA Travel Expenses</t>
  </si>
  <si>
    <t>Deposit For MNNAC Vermilion Sales</t>
  </si>
  <si>
    <t>Cash Withdraw from Deposit for Receipt Book</t>
  </si>
  <si>
    <t>Column2</t>
  </si>
  <si>
    <t>Column3</t>
  </si>
  <si>
    <t>Robin Evanson Basic Text MNNAC XX</t>
  </si>
  <si>
    <t>Shelby James</t>
  </si>
  <si>
    <t>Marvella</t>
  </si>
  <si>
    <t>Charles Covington June Meeting</t>
  </si>
  <si>
    <t>Trac Rasmus</t>
  </si>
  <si>
    <t>USPS</t>
  </si>
  <si>
    <t>Will Spottedbear</t>
  </si>
  <si>
    <t>Deposit Group Donations</t>
  </si>
  <si>
    <t>Deposit Registration</t>
  </si>
  <si>
    <t>Deposit Merchandise</t>
  </si>
  <si>
    <t>Tracy Petrangelo</t>
  </si>
  <si>
    <t>Sheila Fetters</t>
  </si>
  <si>
    <t>Valerie DuPuis</t>
  </si>
  <si>
    <t>ISD</t>
  </si>
  <si>
    <t>Matthew Wagner</t>
  </si>
  <si>
    <t>Sheila.Fetters</t>
  </si>
  <si>
    <t>Lindsey Hella</t>
  </si>
  <si>
    <t>Sam's Club</t>
  </si>
  <si>
    <t>Zup's</t>
  </si>
  <si>
    <t>Sue Johnson</t>
  </si>
  <si>
    <t>Jim Sterzinger</t>
  </si>
  <si>
    <t>Voyagers Lutheran Ministries</t>
  </si>
  <si>
    <t>ULF</t>
  </si>
  <si>
    <t>Square Reader</t>
  </si>
  <si>
    <t>Deposit Vermilion Registration</t>
  </si>
  <si>
    <t xml:space="preserve"> </t>
  </si>
  <si>
    <t>Vermilion Tote</t>
  </si>
  <si>
    <t>RCMA Oct Expenses</t>
  </si>
  <si>
    <t>Harrison Community Center</t>
  </si>
  <si>
    <t>Halloween Event</t>
  </si>
  <si>
    <t>Voyagers Area</t>
  </si>
  <si>
    <t>MNNAC XX Donation</t>
  </si>
  <si>
    <t>Night Magic Productions</t>
  </si>
  <si>
    <t>Ele Withdrawl</t>
  </si>
  <si>
    <t>Super  Value Checks</t>
  </si>
  <si>
    <t>Halloween Deposit</t>
  </si>
  <si>
    <t>Paypall Deposit</t>
  </si>
  <si>
    <t>Deposit from Harrison rental</t>
  </si>
  <si>
    <t>From Square Reader</t>
  </si>
  <si>
    <t>Robin Evanson</t>
  </si>
  <si>
    <t>NLASC Check Register 2012-13</t>
  </si>
  <si>
    <t>CLEARED</t>
  </si>
  <si>
    <t>Reserve Offset</t>
  </si>
  <si>
    <t>MNNAC XX Spec Projects</t>
  </si>
  <si>
    <t>Payee/Description</t>
  </si>
  <si>
    <t>NLASC Check Register 12/01/2013-11/30/2014</t>
  </si>
  <si>
    <t>NA World Services - literature</t>
  </si>
  <si>
    <t>Roberta Evanson</t>
  </si>
  <si>
    <t>MN NA Region</t>
  </si>
  <si>
    <t>World NA</t>
  </si>
  <si>
    <t>Valerie DuPuis - copies for Chair</t>
  </si>
  <si>
    <t>ISD 709 - Copies of mtg lists</t>
  </si>
  <si>
    <t>ISD 709- Tradition Project copies</t>
  </si>
  <si>
    <t>Mont du Lac - Tubing event</t>
  </si>
  <si>
    <t>World of Wheels - Skating event</t>
  </si>
  <si>
    <t>Caitlin Milligan</t>
  </si>
  <si>
    <t>Kenny Donald</t>
  </si>
  <si>
    <t>John Herron</t>
  </si>
  <si>
    <t>Deposit - New comer donation from Living Clean</t>
  </si>
  <si>
    <t>Deposit - Roller Skating Funds</t>
  </si>
  <si>
    <t>Deposit - Tubing event</t>
  </si>
  <si>
    <t>Freya Johnson - Vermilion Banner</t>
  </si>
  <si>
    <t>Matthew Wagner- Vermilion awareness event</t>
  </si>
  <si>
    <t>JP Rennquist- DJ prom</t>
  </si>
  <si>
    <t>Robin Evanson- magnets</t>
  </si>
  <si>
    <t>Super One - picnic food</t>
  </si>
  <si>
    <t>Peace Church- rental for prom</t>
  </si>
  <si>
    <t>Marvella Davis- auction/raffle</t>
  </si>
  <si>
    <t>Lisa Streit - gas for main speaker</t>
  </si>
  <si>
    <t>NA World Services - literature (It Works Mtg)</t>
  </si>
  <si>
    <t>Reimbursment for Literature (It Works Mtg)</t>
  </si>
  <si>
    <t>Leftover funds from 4th Step Workshop</t>
  </si>
  <si>
    <t>Caitlin Milligan- copies</t>
  </si>
  <si>
    <t>Caitlin Mililgan - Atmosphere of recovery workshop</t>
  </si>
  <si>
    <t>Caitlin Milligan - Decorations prom</t>
  </si>
  <si>
    <t>Interest earned</t>
  </si>
  <si>
    <t>NA World Service - lit order</t>
  </si>
  <si>
    <t>Melissa Henderson</t>
  </si>
  <si>
    <t>Caitlin Miligan - Prom Reimb</t>
  </si>
  <si>
    <t>Freya Johnson - Prom, cloth for pics</t>
  </si>
  <si>
    <t>Bus for Vermilion - VOIDED</t>
  </si>
  <si>
    <t>Sheila Fetters - Vermilion Med Hunt</t>
  </si>
  <si>
    <t>Cash - start up money for Reg</t>
  </si>
  <si>
    <t>Cash - start up money for Mdse</t>
  </si>
  <si>
    <t>NA World Office - lit orders 5/19 &amp; 9/2</t>
  </si>
  <si>
    <t>Walmart</t>
  </si>
  <si>
    <t>Zups</t>
  </si>
  <si>
    <t>JP Rennquist- DJ Vermilion</t>
  </si>
  <si>
    <t>Robin Evanson - name tags</t>
  </si>
  <si>
    <t>Robin Evanson - Helium</t>
  </si>
  <si>
    <t>Tracy P - VOIDED</t>
  </si>
  <si>
    <t>Sue Johnson - garbage bags</t>
  </si>
  <si>
    <t>Paypal before event</t>
  </si>
  <si>
    <t xml:space="preserve">On Site Cash </t>
  </si>
  <si>
    <t>Credit Card on site</t>
  </si>
  <si>
    <t>Auction Credit Card</t>
  </si>
  <si>
    <t>Auction Cash</t>
  </si>
  <si>
    <t>Pop money</t>
  </si>
  <si>
    <t>Raffle money</t>
  </si>
  <si>
    <t>Northern Tool and Equip</t>
  </si>
  <si>
    <t>Prom revenue</t>
  </si>
  <si>
    <t>Before event cash/checks</t>
  </si>
  <si>
    <t>Donations</t>
  </si>
  <si>
    <t>Repayment of RCM money</t>
  </si>
  <si>
    <t>Repayment of leftover money Banner</t>
  </si>
  <si>
    <t>Repyament of leftover adult games money</t>
  </si>
  <si>
    <t>Deposit after Halloween Gig</t>
  </si>
  <si>
    <t>Caitlin Milligan ASC/Vermilion</t>
  </si>
  <si>
    <t>Meeting space for ASC</t>
  </si>
  <si>
    <t>Invoice #1501</t>
  </si>
  <si>
    <t>Paul Wiemer - refund BAKK</t>
  </si>
  <si>
    <t>NA World for Literature Inv. # 1002407</t>
  </si>
  <si>
    <t>NA World For Lit Inv # 1002408</t>
  </si>
  <si>
    <t>Walmart - Halloween expenses</t>
  </si>
  <si>
    <t>Dollar Tree - Halloween expenses</t>
  </si>
  <si>
    <t>Amazon - Popcorn maker/supplies</t>
  </si>
  <si>
    <t>USPS - stamps</t>
  </si>
  <si>
    <t>Sam's Club Halloween expenses</t>
  </si>
  <si>
    <t>Dollar General - Halloween expenses</t>
  </si>
  <si>
    <t xml:space="preserve">Cash - start up money for Halloween </t>
  </si>
  <si>
    <t>Pan O Gold - Halloween expenses</t>
  </si>
  <si>
    <t>Dean Carlson - Halloween DJ</t>
  </si>
  <si>
    <t>EZ Storage for Year + Nov 2014</t>
  </si>
  <si>
    <t>World NA  Inv. # 1002408</t>
  </si>
  <si>
    <t>World NA  Inv. # 1013411  Living Clean</t>
  </si>
  <si>
    <t>Group donations</t>
  </si>
  <si>
    <t>London Rd Rental</t>
  </si>
  <si>
    <t>Val DuPuis</t>
  </si>
  <si>
    <t>St. Mary's Star of the Sea Church</t>
  </si>
  <si>
    <t>World Service Office</t>
  </si>
  <si>
    <t>Mont du Lac</t>
  </si>
  <si>
    <t>NA MN Region</t>
  </si>
  <si>
    <t>New Years Gig</t>
  </si>
  <si>
    <t>Living Clean Vermilion Funds</t>
  </si>
  <si>
    <t>American Inn</t>
  </si>
  <si>
    <t>Marvella Davis - food per diem x 2</t>
  </si>
  <si>
    <t>Marvella Davis - gas</t>
  </si>
  <si>
    <t>Food slicers</t>
  </si>
  <si>
    <t>Walmart - supplies</t>
  </si>
  <si>
    <t>Void</t>
  </si>
  <si>
    <t>Returned uncashed check from hotel</t>
  </si>
  <si>
    <t>Voided</t>
  </si>
  <si>
    <t>World of Wheels</t>
  </si>
  <si>
    <t>Depost</t>
  </si>
  <si>
    <t>Interest</t>
  </si>
  <si>
    <t>NLASC Check Register 12/01/2014-11/30/2015</t>
  </si>
  <si>
    <t>Wouldn't it be cool if</t>
  </si>
  <si>
    <t>Public Relations Projects</t>
  </si>
  <si>
    <t>Robin Evanson - Roller skating items</t>
  </si>
  <si>
    <t>Marvella Davis - Vermilion item</t>
  </si>
  <si>
    <t>St. Louis County Human Service confernece</t>
  </si>
  <si>
    <t>World Service Office - Marty Mann order</t>
  </si>
  <si>
    <t xml:space="preserve">Marvella Davis </t>
  </si>
  <si>
    <t>Peace Church rent for ASC &amp; game show</t>
  </si>
  <si>
    <t>Peace Church rent for ASC and Vermilion</t>
  </si>
  <si>
    <t xml:space="preserve">ISD 709  </t>
  </si>
  <si>
    <t>Depoist from ASC</t>
  </si>
  <si>
    <t>Registration for MD</t>
  </si>
  <si>
    <t>NA Time of Day Vermilion Fund</t>
  </si>
  <si>
    <t>Friday literature order payment</t>
  </si>
  <si>
    <t>Freya Johnson, banner</t>
  </si>
  <si>
    <t>L&amp;M Fleet</t>
  </si>
  <si>
    <t>Peach Church</t>
  </si>
  <si>
    <t>WSO - returned check for double payment</t>
  </si>
  <si>
    <t>NA World Services- Hope not Dope keytags</t>
  </si>
  <si>
    <t>NA World Services - IP's for Charles</t>
  </si>
  <si>
    <t>Dollar Tree - Items for store</t>
  </si>
  <si>
    <t>Caitlin Milligan - pop money</t>
  </si>
  <si>
    <t>Walmart - supplies for store/kitchen/misc.</t>
  </si>
  <si>
    <t>Sam's Club - coolers + supplies</t>
  </si>
  <si>
    <t xml:space="preserve">Walmart </t>
  </si>
  <si>
    <t xml:space="preserve">Sam's Club </t>
  </si>
  <si>
    <t>Sam's Clulb</t>
  </si>
  <si>
    <t>Super One</t>
  </si>
  <si>
    <t>Voyagers Luthern Ministry</t>
  </si>
  <si>
    <t>ISD 709 name tags</t>
  </si>
  <si>
    <t>Rachel Sullivan - refund, didn't make it</t>
  </si>
  <si>
    <t>Vermilion funds from groups</t>
  </si>
  <si>
    <t xml:space="preserve">Raffle </t>
  </si>
  <si>
    <t>PayPal, Event including Square</t>
  </si>
  <si>
    <t>Event including Square and auction</t>
  </si>
  <si>
    <t>Start up change - mdse</t>
  </si>
  <si>
    <t>Start up change - registration</t>
  </si>
  <si>
    <t>Money order for reg</t>
  </si>
  <si>
    <t>Cash for Tiffany B out of Mdse. Money</t>
  </si>
  <si>
    <t>Replace mdse. Money for above</t>
  </si>
  <si>
    <t>TGIF</t>
  </si>
  <si>
    <t>Donations from groups for newcomers</t>
  </si>
  <si>
    <t>Donation from Main speaker for newcomers</t>
  </si>
  <si>
    <t>Funds from Programming into Reg</t>
  </si>
  <si>
    <t>Living Clean mdse order money</t>
  </si>
  <si>
    <t>Matthew Wagner - jail project</t>
  </si>
  <si>
    <t>EZ Storage - yearly rent</t>
  </si>
  <si>
    <t>Robin Evanson - HHS Conference</t>
  </si>
  <si>
    <t xml:space="preserve"> ISD 709 HHS conference</t>
  </si>
  <si>
    <t>NA World Service - Charles C project IP's</t>
  </si>
  <si>
    <t>Cash for Halloween start up/prizes</t>
  </si>
  <si>
    <t>Sam's Club Halloween supplies</t>
  </si>
  <si>
    <t>Dollar Tree Halloween prizes, kids stuff</t>
  </si>
  <si>
    <t>Walmart Halloween supplies</t>
  </si>
  <si>
    <t>Josiah Anderson - Bowling Gig</t>
  </si>
  <si>
    <t>Halloween door money minus expenses</t>
  </si>
  <si>
    <t>Star of the Sea Church, rent for Hallowen event</t>
  </si>
  <si>
    <t>Living Clean group order</t>
  </si>
  <si>
    <t>pay for order: 102256 Drug Court info</t>
  </si>
  <si>
    <t>pay for order: 1022505 Strenth in #'s group</t>
  </si>
  <si>
    <t>pay for order: 101956 Living Clean group</t>
  </si>
  <si>
    <t xml:space="preserve">Mileage money for speaker </t>
  </si>
  <si>
    <t>Sheila Fetters - gas money</t>
  </si>
  <si>
    <t>Returned duplicate check from World</t>
  </si>
  <si>
    <t>March 3rd 2014 Cleared</t>
  </si>
  <si>
    <t>Clearded March 3rd 2014</t>
  </si>
  <si>
    <t>Cleared March 27th 2014</t>
  </si>
  <si>
    <t xml:space="preserve">Did not clear </t>
  </si>
  <si>
    <t>June 9th $37.82 Deposit Missing</t>
  </si>
  <si>
    <t>July 30 $593 Deposit missing in check register</t>
  </si>
  <si>
    <t>Missing September Statement</t>
  </si>
  <si>
    <t xml:space="preserve">.41 Missing Interest </t>
  </si>
  <si>
    <t>$4890.18 Cleared Bank on November 4th</t>
  </si>
  <si>
    <t>.38 interest is missing</t>
  </si>
  <si>
    <t>.57 interest november missing in register</t>
  </si>
  <si>
    <t>Missing .39 interest missing</t>
  </si>
  <si>
    <t>deposit of $82.51 on Oct 6th missing from statement</t>
  </si>
  <si>
    <t>deposit of $263.24 not on August bank statement</t>
  </si>
  <si>
    <t>cleared date</t>
  </si>
  <si>
    <t>X</t>
  </si>
  <si>
    <t>added 02/01/2016 robin e &amp; caitlin m</t>
  </si>
  <si>
    <t>reversed duplicate entry see 2/19/14 dep robin e &amp; caitlin m</t>
  </si>
  <si>
    <t>Entered Missing Deposit robin e &amp; caitlin m</t>
  </si>
  <si>
    <t>returned deposit item details unknown</t>
  </si>
  <si>
    <t>bank service fee</t>
  </si>
  <si>
    <t>ADJUSTED</t>
  </si>
  <si>
    <t>NONE</t>
  </si>
  <si>
    <t>Deposit correction per bank 15324.71-reg 15541.35</t>
  </si>
  <si>
    <t>Column6</t>
  </si>
  <si>
    <t>Date Cleared</t>
  </si>
  <si>
    <t>N/A</t>
  </si>
  <si>
    <t>Adjust Prior Deposit</t>
  </si>
  <si>
    <t>-</t>
  </si>
  <si>
    <t>Unrecorded Check</t>
  </si>
  <si>
    <t>Unrecorded Withdrawal</t>
  </si>
  <si>
    <t>Square Fee</t>
  </si>
  <si>
    <t>Vermilion Paypal Online</t>
  </si>
  <si>
    <t>Vermilion Ssquare Payment</t>
  </si>
  <si>
    <t xml:space="preserve">WSO </t>
  </si>
  <si>
    <t>ISD709</t>
  </si>
  <si>
    <t>Rochelle Bolen</t>
  </si>
  <si>
    <t>Dean Carlson - New Years DJ</t>
  </si>
  <si>
    <t>Pilgrim Lutheran Church</t>
  </si>
  <si>
    <t>WSO</t>
  </si>
  <si>
    <t>Unrecorded Deposit</t>
  </si>
  <si>
    <t>NARANON</t>
  </si>
  <si>
    <t>Void Uncashed Check</t>
  </si>
  <si>
    <t>balance adjustment to reconciled statement</t>
  </si>
  <si>
    <t>NLASC Check Register 12/01/2015-11/30/2016</t>
  </si>
  <si>
    <t>Charles Kelley</t>
  </si>
  <si>
    <t>Cold Play</t>
  </si>
  <si>
    <t>Comments</t>
  </si>
  <si>
    <t>Withdrawal - tubing event</t>
  </si>
  <si>
    <t>Withdrawal - Living Clean Vermilion fund</t>
  </si>
  <si>
    <t xml:space="preserve">Withdrawal </t>
  </si>
  <si>
    <t>Vouagers Lutheran Camp - Withdrawal</t>
  </si>
  <si>
    <t>Withdrawal - roller skating gig</t>
  </si>
  <si>
    <t>Withdrawal Living Clean Fri Vermilion Funds</t>
  </si>
  <si>
    <t>Withdrawal Romp N Stomp Vermilion Funds</t>
  </si>
  <si>
    <t>Withdrawal Thurs Hope not Dope Vermilion Funds</t>
  </si>
  <si>
    <t>Unknown Withdrawal</t>
  </si>
  <si>
    <t>Vermilion Withdrawal Adjustment</t>
  </si>
  <si>
    <t>Withdrawal from 3/27/2015 Withdrawal Living Clean Fri Vermilion Funds</t>
  </si>
  <si>
    <t>Unknown Withdrawal Difference from 3950.16 10/06/15</t>
  </si>
  <si>
    <t>Douglas County Jail</t>
  </si>
  <si>
    <t>CADC</t>
  </si>
  <si>
    <t>St Louis County Health</t>
  </si>
  <si>
    <t>Drug Court</t>
  </si>
  <si>
    <t>New Projects</t>
  </si>
  <si>
    <t>Rompin Stomp</t>
  </si>
  <si>
    <t>New Horizons</t>
  </si>
  <si>
    <t>Strength in Numbers</t>
  </si>
  <si>
    <t>Hope Not Dope</t>
  </si>
  <si>
    <t>NA Time of Day</t>
  </si>
  <si>
    <t>Living Clean</t>
  </si>
  <si>
    <t>Saturday Night NA</t>
  </si>
  <si>
    <t>Dep 1602A</t>
  </si>
  <si>
    <t>Prior Per Adj</t>
  </si>
  <si>
    <t>New Years Raffle</t>
  </si>
  <si>
    <t>New Years Pop/Food</t>
  </si>
  <si>
    <t>New Years $89 Door/$16 Raffle</t>
  </si>
  <si>
    <t>New Years Door</t>
  </si>
  <si>
    <t>Dep</t>
  </si>
  <si>
    <t>Cleared</t>
  </si>
  <si>
    <t>Available Balance</t>
  </si>
  <si>
    <t>Balance per Bank</t>
  </si>
  <si>
    <t>Payee</t>
  </si>
  <si>
    <t>Literature</t>
  </si>
  <si>
    <t>Travel</t>
  </si>
  <si>
    <t>Supplies</t>
  </si>
  <si>
    <t>October Rent</t>
  </si>
  <si>
    <t>409939</t>
  </si>
  <si>
    <t>409910</t>
  </si>
  <si>
    <t>409911</t>
  </si>
  <si>
    <t>409942</t>
  </si>
  <si>
    <t>409943</t>
  </si>
  <si>
    <t>409944</t>
  </si>
  <si>
    <t>409946</t>
  </si>
  <si>
    <t>409947</t>
  </si>
  <si>
    <t>Cloquet Candlelight</t>
  </si>
  <si>
    <t>Language of Recovery</t>
  </si>
  <si>
    <t>3289</t>
  </si>
  <si>
    <t>On the Limit</t>
  </si>
  <si>
    <t>72 15-oz Coffee Mugs</t>
  </si>
  <si>
    <t>3290</t>
  </si>
  <si>
    <t>SLC Human Services Conf Fund</t>
  </si>
  <si>
    <t>PI Table Registration</t>
  </si>
  <si>
    <t>409948</t>
  </si>
  <si>
    <t>Dean Carlson</t>
  </si>
  <si>
    <t>2 Registrations</t>
  </si>
  <si>
    <t>Mug Sales @ MNNAC</t>
  </si>
  <si>
    <t>USBank</t>
  </si>
  <si>
    <t>March Interest</t>
  </si>
  <si>
    <t>New Years Spkr Dance</t>
  </si>
  <si>
    <t>April Interest</t>
  </si>
  <si>
    <t>Actual to date</t>
  </si>
  <si>
    <t>NORTHERN LIGHTS AREA TREASURY REPORT</t>
  </si>
  <si>
    <t>As of</t>
  </si>
  <si>
    <t>3121</t>
  </si>
  <si>
    <t>3122</t>
  </si>
  <si>
    <t>3123</t>
  </si>
  <si>
    <t>3124</t>
  </si>
  <si>
    <t>3125</t>
  </si>
  <si>
    <t>3126</t>
  </si>
  <si>
    <t>3127</t>
  </si>
  <si>
    <t>Camp Vermilion</t>
  </si>
  <si>
    <t>Susan Johnson</t>
  </si>
  <si>
    <t>May Reg Meeting</t>
  </si>
  <si>
    <t xml:space="preserve">Rachel Dean </t>
  </si>
  <si>
    <t>Coffee Supplies</t>
  </si>
  <si>
    <t>Copies</t>
  </si>
  <si>
    <t>Incline Station</t>
  </si>
  <si>
    <t>409949</t>
  </si>
  <si>
    <t>409950</t>
  </si>
  <si>
    <t>409951</t>
  </si>
  <si>
    <t>409952</t>
  </si>
  <si>
    <t>409953</t>
  </si>
  <si>
    <t>Square Inc.</t>
  </si>
  <si>
    <t>1 Mug</t>
  </si>
  <si>
    <t>Budget Balance</t>
  </si>
  <si>
    <t>3128</t>
  </si>
  <si>
    <t>3129</t>
  </si>
  <si>
    <t>Pop &amp; water</t>
  </si>
  <si>
    <t>3130</t>
  </si>
  <si>
    <t>Northbound Creative</t>
  </si>
  <si>
    <t>Shirts, etc.</t>
  </si>
  <si>
    <t>3131</t>
  </si>
  <si>
    <t>3132</t>
  </si>
  <si>
    <t>3133</t>
  </si>
  <si>
    <t>Raffle Baskets</t>
  </si>
  <si>
    <t>3134</t>
  </si>
  <si>
    <t>3135</t>
  </si>
  <si>
    <t>August RSC</t>
  </si>
  <si>
    <t>3136</t>
  </si>
  <si>
    <t>Coffee/Snacks</t>
  </si>
  <si>
    <t>3137</t>
  </si>
  <si>
    <t>Ice Cream Social</t>
  </si>
  <si>
    <t>3138</t>
  </si>
  <si>
    <t>ASC rent June/Aug</t>
  </si>
  <si>
    <t>Recovery Walk</t>
  </si>
  <si>
    <t>3140</t>
  </si>
  <si>
    <t>3142</t>
  </si>
  <si>
    <t>3143</t>
  </si>
  <si>
    <t>Cash Box Startup</t>
  </si>
  <si>
    <t>3144</t>
  </si>
  <si>
    <t>Wrist Bands</t>
  </si>
  <si>
    <t>Meal Tickets</t>
  </si>
  <si>
    <t>3145</t>
  </si>
  <si>
    <t>DJ</t>
  </si>
  <si>
    <t>3146</t>
  </si>
  <si>
    <t>Justin Danberry</t>
  </si>
  <si>
    <t>Refund Registration</t>
  </si>
  <si>
    <t>409954</t>
  </si>
  <si>
    <t>409955</t>
  </si>
  <si>
    <t>409956</t>
  </si>
  <si>
    <t>409957</t>
  </si>
  <si>
    <t>409958</t>
  </si>
  <si>
    <t xml:space="preserve">5pm Registration </t>
  </si>
  <si>
    <t>5pm Merchandise</t>
  </si>
  <si>
    <t>PreRegistrations</t>
  </si>
  <si>
    <t>10pm Registration</t>
  </si>
  <si>
    <t>Raffel</t>
  </si>
  <si>
    <t>Auction</t>
  </si>
  <si>
    <t>10pm Merchandise</t>
  </si>
  <si>
    <t>Reg Merchandise</t>
  </si>
  <si>
    <t>Registration</t>
  </si>
  <si>
    <t>Fees</t>
  </si>
  <si>
    <t>Merchandise</t>
  </si>
  <si>
    <t>NAMinnesota Website</t>
  </si>
  <si>
    <t>Invoice 2016 Gathering</t>
  </si>
  <si>
    <t>Camp Fees</t>
  </si>
  <si>
    <t>3139</t>
  </si>
  <si>
    <t>1 time discount</t>
  </si>
  <si>
    <t>Meals</t>
  </si>
  <si>
    <t>NLASC Check Register 12/01/2016-11/30/2017</t>
  </si>
  <si>
    <t>Grand total</t>
  </si>
  <si>
    <t>SUB TOTAL OPERATING</t>
  </si>
  <si>
    <t>SUBTOTAL VERMILION</t>
  </si>
  <si>
    <t>3147</t>
  </si>
  <si>
    <t>3141</t>
  </si>
  <si>
    <t>Poster - Vista Print</t>
  </si>
  <si>
    <t>Poster  Literature</t>
  </si>
  <si>
    <t>3148</t>
  </si>
  <si>
    <t>Printing</t>
  </si>
  <si>
    <t>Merch Raffle</t>
  </si>
  <si>
    <t>Snacks Beverages</t>
  </si>
  <si>
    <t>Kids Games</t>
  </si>
  <si>
    <t>Kids Crafts</t>
  </si>
  <si>
    <t>Banner</t>
  </si>
  <si>
    <t>3150</t>
  </si>
  <si>
    <t>Verm Misc</t>
  </si>
  <si>
    <t>Steps to Recovery</t>
  </si>
  <si>
    <t>3091</t>
  </si>
  <si>
    <t>3092</t>
  </si>
  <si>
    <t>80 Essentia/95 Genesis PI</t>
  </si>
  <si>
    <t>3149</t>
  </si>
  <si>
    <t>3093</t>
  </si>
  <si>
    <t>3094</t>
  </si>
  <si>
    <t>NA Minnesota</t>
  </si>
  <si>
    <t>3095</t>
  </si>
  <si>
    <t>vOID</t>
  </si>
  <si>
    <t>3096</t>
  </si>
  <si>
    <t>Naranon</t>
  </si>
  <si>
    <t>50% Registration</t>
  </si>
  <si>
    <t>Net Proceeds</t>
  </si>
  <si>
    <t>November RCM</t>
  </si>
  <si>
    <t>Halloween Decorations</t>
  </si>
  <si>
    <t>3099</t>
  </si>
  <si>
    <t>3098</t>
  </si>
  <si>
    <t>3097</t>
  </si>
  <si>
    <t>Halloween Food</t>
  </si>
  <si>
    <t xml:space="preserve">Interest Income </t>
  </si>
  <si>
    <t>Adjust to Actual</t>
  </si>
  <si>
    <t>Deposit Returned</t>
  </si>
  <si>
    <t>ADJUST DEPOSIT</t>
  </si>
  <si>
    <t>MEMO</t>
  </si>
  <si>
    <t>BUDGET 2016-17</t>
  </si>
  <si>
    <t>3100</t>
  </si>
  <si>
    <t>3101</t>
  </si>
  <si>
    <t>Mary Star of the Sea</t>
  </si>
  <si>
    <t>3102</t>
  </si>
  <si>
    <t>Bobbie White</t>
  </si>
  <si>
    <t xml:space="preserve">Form Copies </t>
  </si>
  <si>
    <t>3103</t>
  </si>
  <si>
    <t>Sound System New Years Party</t>
  </si>
  <si>
    <t>3104</t>
  </si>
  <si>
    <t>3105</t>
  </si>
  <si>
    <t>Group Literature Purchases</t>
  </si>
  <si>
    <t>Group Lit Paid</t>
  </si>
  <si>
    <t>Group Lit Orders</t>
  </si>
  <si>
    <t>Douglas County Jail Men</t>
  </si>
  <si>
    <t>Douglas County Jail Women</t>
  </si>
  <si>
    <t>,</t>
  </si>
  <si>
    <t xml:space="preserve">                                                                                                                                                                                                                           </t>
  </si>
  <si>
    <t>Dep 1602B</t>
  </si>
  <si>
    <t>Dep 1602C</t>
  </si>
  <si>
    <t>Dep 1602D</t>
  </si>
  <si>
    <t>Dep 1602E</t>
  </si>
  <si>
    <t>Dep 1602F</t>
  </si>
  <si>
    <t>Dep 1602G</t>
  </si>
  <si>
    <t>Dep 1602H</t>
  </si>
  <si>
    <t>Dep1601A</t>
  </si>
  <si>
    <t>Dep1601B</t>
  </si>
  <si>
    <t>Dep 1601C</t>
  </si>
  <si>
    <t>Dep 1601D</t>
  </si>
  <si>
    <t>409945</t>
  </si>
  <si>
    <t>Statement End Date</t>
  </si>
  <si>
    <t>Funds Held for Groups</t>
  </si>
  <si>
    <t xml:space="preserve">Living Clean </t>
  </si>
  <si>
    <t>Child Care Funds</t>
  </si>
  <si>
    <t>New Years Event</t>
  </si>
  <si>
    <t>Charles C</t>
  </si>
  <si>
    <t>New Yrs Facility Rent</t>
  </si>
  <si>
    <t>New Yrs Raffle</t>
  </si>
  <si>
    <t>New Yrs Food</t>
  </si>
  <si>
    <t>Food &amp; Other</t>
  </si>
  <si>
    <t>7th Tradition</t>
  </si>
  <si>
    <t>Void Check</t>
  </si>
  <si>
    <t>Prior Period Adj</t>
  </si>
  <si>
    <t>DLX for  Business</t>
  </si>
  <si>
    <t>New Checks</t>
  </si>
  <si>
    <t>409979</t>
  </si>
  <si>
    <t>409980</t>
  </si>
  <si>
    <t>409959</t>
  </si>
  <si>
    <t>409960</t>
  </si>
  <si>
    <t>409961</t>
  </si>
  <si>
    <t>409962</t>
  </si>
  <si>
    <t>409963</t>
  </si>
  <si>
    <t>409964</t>
  </si>
  <si>
    <t>409965</t>
  </si>
  <si>
    <t>409966</t>
  </si>
  <si>
    <t>409967</t>
  </si>
  <si>
    <t>409968</t>
  </si>
  <si>
    <t>409969</t>
  </si>
  <si>
    <t>409970</t>
  </si>
  <si>
    <t>409971</t>
  </si>
  <si>
    <t>409972</t>
  </si>
  <si>
    <t>409975/6/7</t>
  </si>
  <si>
    <t>Cloquet</t>
  </si>
  <si>
    <t>Gary Andresen</t>
  </si>
  <si>
    <t>Verm Merch Refund</t>
  </si>
  <si>
    <t>Elec Withdrawal</t>
  </si>
  <si>
    <t>Statement</t>
  </si>
  <si>
    <t xml:space="preserve"> as of 11/30/14</t>
  </si>
  <si>
    <t>Feb ASC</t>
  </si>
  <si>
    <t>Reimbursement</t>
  </si>
  <si>
    <t>Booth Rental DECC</t>
  </si>
  <si>
    <t>Rochelle Bolan</t>
  </si>
  <si>
    <t>Agenda Copies</t>
  </si>
  <si>
    <t>Linsdsay Hella</t>
  </si>
  <si>
    <t>COCW Overnight</t>
  </si>
  <si>
    <t>Pool Party Cloquet</t>
  </si>
  <si>
    <t>One Roof</t>
  </si>
  <si>
    <t>ASC Meeting Deposit</t>
  </si>
  <si>
    <t>Feb Donation</t>
  </si>
  <si>
    <t>Step to Recovery</t>
  </si>
  <si>
    <t>Thursday Candlelight</t>
  </si>
  <si>
    <t>Sat Night NA</t>
  </si>
  <si>
    <t>Adjustment Entry to Balance</t>
  </si>
  <si>
    <t>Verm Reg Forms</t>
  </si>
  <si>
    <t>Verm Flyers</t>
  </si>
  <si>
    <t>Secretary File Box</t>
  </si>
  <si>
    <t>New Horizon</t>
  </si>
  <si>
    <t>Pool Party</t>
  </si>
  <si>
    <t>Charles Covington</t>
  </si>
  <si>
    <t>NAWS Lit Order</t>
  </si>
  <si>
    <t>Verm Raffle Items</t>
  </si>
  <si>
    <t>Riley Mundle</t>
  </si>
  <si>
    <t>Vermilion Awareness</t>
  </si>
  <si>
    <t>Candlelight NA</t>
  </si>
  <si>
    <t>Donnie Brewster</t>
  </si>
  <si>
    <t xml:space="preserve">TGIF </t>
  </si>
  <si>
    <t>Adjust Deposit to Actual</t>
  </si>
  <si>
    <t>Vermilion Registration</t>
  </si>
  <si>
    <t>Vermilion Flyer</t>
  </si>
  <si>
    <t>August ASC</t>
  </si>
  <si>
    <t>Marvella Davise</t>
  </si>
  <si>
    <t>Vermilion Kitch</t>
  </si>
  <si>
    <t xml:space="preserve">Vermilion Raffle </t>
  </si>
  <si>
    <t>Agendas minutes forms</t>
  </si>
  <si>
    <t>Plates Napkins</t>
  </si>
  <si>
    <t>Verm Awareness Game</t>
  </si>
  <si>
    <t>Lanyards</t>
  </si>
  <si>
    <t>Verm Auction</t>
  </si>
  <si>
    <t>Pop 47.68 Raffle 76.40</t>
  </si>
  <si>
    <t>pop</t>
  </si>
  <si>
    <t xml:space="preserve"> start up</t>
  </si>
  <si>
    <t>Mark's County Market</t>
  </si>
  <si>
    <t>Firewood</t>
  </si>
  <si>
    <t xml:space="preserve">DJ </t>
  </si>
  <si>
    <t xml:space="preserve"> Bobbie White</t>
  </si>
  <si>
    <t>Registration thru MN Region Website</t>
  </si>
  <si>
    <t>Reg Fee MN Region Web</t>
  </si>
  <si>
    <t>Square</t>
  </si>
  <si>
    <t>Credit Card Sales</t>
  </si>
  <si>
    <t>Credit Card Expense</t>
  </si>
  <si>
    <t xml:space="preserve">        </t>
  </si>
  <si>
    <t>Men's Recovery Group</t>
  </si>
  <si>
    <t>RCM Return</t>
  </si>
  <si>
    <t>Paid Out Cash</t>
  </si>
  <si>
    <t>Fun &amp; Game Night</t>
  </si>
  <si>
    <t>Taco &amp; Pop Sales</t>
  </si>
  <si>
    <t>Mooselake</t>
  </si>
  <si>
    <t>Dep by Caitlin Milligan</t>
  </si>
  <si>
    <t>Prepaid by check</t>
  </si>
  <si>
    <t xml:space="preserve">ASC Meeting </t>
  </si>
  <si>
    <t>Start up cash</t>
  </si>
  <si>
    <t>Start Up cash</t>
  </si>
  <si>
    <t>Neww Horizons</t>
  </si>
  <si>
    <t>Come One, Come All</t>
  </si>
  <si>
    <t>Vermilion Name Tags</t>
  </si>
  <si>
    <t>Carry the Mssg Posters</t>
  </si>
  <si>
    <t>SLCHSSC Meeting lists</t>
  </si>
  <si>
    <t>Area Meeting Lists</t>
  </si>
  <si>
    <t>Refund</t>
  </si>
  <si>
    <t>October ASC</t>
  </si>
  <si>
    <t>$400 Adv-$386.99 Exp</t>
  </si>
  <si>
    <t>Transport Supplies</t>
  </si>
  <si>
    <t>Ann Silverness</t>
  </si>
  <si>
    <t>10/29/17 NewCmr</t>
  </si>
  <si>
    <t>New Project Reserve</t>
  </si>
  <si>
    <t>New Project Expense</t>
  </si>
  <si>
    <t>One Roof void</t>
  </si>
  <si>
    <t>Little Ceasar's</t>
  </si>
  <si>
    <t>Halloween Pizza</t>
  </si>
  <si>
    <t>Final Pyment</t>
  </si>
  <si>
    <t>Raffle</t>
  </si>
  <si>
    <t>Reg Fee SLCHHSC</t>
  </si>
  <si>
    <t>Halloween Raffle</t>
  </si>
  <si>
    <t>Voyagers Lutheran</t>
  </si>
  <si>
    <t>Tracy/Cait/Sheila</t>
  </si>
  <si>
    <t>JP Rennquist New Years</t>
  </si>
  <si>
    <t>Mt Olive New years</t>
  </si>
  <si>
    <t>Aaron White Pool Party</t>
  </si>
  <si>
    <t>Robin E Fun &amp; Game</t>
  </si>
  <si>
    <t>Cash Dep New Years</t>
  </si>
  <si>
    <t>NAWS Moose Lake</t>
  </si>
  <si>
    <t>Robin Sec Box</t>
  </si>
  <si>
    <t>Amended 8/5/17 to incease Verm Reg Exp by $100.00</t>
  </si>
  <si>
    <t>Reimbursement for 2017 Vermilion Check Written 12/02/2017</t>
  </si>
  <si>
    <t>JP Requist</t>
  </si>
  <si>
    <t>New Year's DJ</t>
  </si>
  <si>
    <t>New Year's Event</t>
  </si>
  <si>
    <t>Feb Event-Luau</t>
  </si>
  <si>
    <t>CAR Event in Feb</t>
  </si>
  <si>
    <t>Dec ASC Group Donations</t>
  </si>
  <si>
    <t>Actual Balance Adjusted Reimbursement from 2017 Vermilion Written 12/02/2017</t>
  </si>
  <si>
    <t xml:space="preserve">            Applied in 2017 Budget</t>
  </si>
  <si>
    <t>47249-47257</t>
  </si>
  <si>
    <t>Reconcilation Difference</t>
  </si>
  <si>
    <t>NLASC Check Register 12/01/2017-11/30/2018</t>
  </si>
  <si>
    <t>PO Box - VOID</t>
  </si>
  <si>
    <t>VOIDED</t>
  </si>
  <si>
    <t>VLM</t>
  </si>
  <si>
    <t>Vermilion Deposit</t>
  </si>
  <si>
    <t>ASC Rent</t>
  </si>
  <si>
    <t>RCM/COCW Mileage and Room</t>
  </si>
  <si>
    <t>Carry the Message Storage Bin</t>
  </si>
  <si>
    <t>Mens Douglas Cty H&amp;I</t>
  </si>
  <si>
    <t>Vermilion Awareness Event</t>
  </si>
  <si>
    <t>Feb ASC Donations</t>
  </si>
  <si>
    <t>Vermilion Registration Flyers</t>
  </si>
  <si>
    <t>Exhibitor Fee</t>
  </si>
  <si>
    <t>Stamps</t>
  </si>
  <si>
    <t>Unused funds for Luau 02/17/18</t>
  </si>
  <si>
    <t>Eli Corbin</t>
  </si>
  <si>
    <t>Coffee, Cream, Sugar, Etc</t>
  </si>
  <si>
    <t>Merrit Community Center</t>
  </si>
  <si>
    <t>Rent</t>
  </si>
  <si>
    <t xml:space="preserve">Carnival for Spring </t>
  </si>
  <si>
    <t>Rent Deposit VOID</t>
  </si>
  <si>
    <t>RCM Mileage</t>
  </si>
  <si>
    <t>Peggy Segerstrom</t>
  </si>
  <si>
    <t>Speaker Mileage 392@0.25</t>
  </si>
  <si>
    <t>Carnival for Spring Unused funds</t>
  </si>
  <si>
    <t>Summer Steward</t>
  </si>
  <si>
    <t>Vrml Merch Auction and Raffle</t>
  </si>
  <si>
    <t>Vermilion Programming Name Tags</t>
  </si>
  <si>
    <t>3 Basic Texts and Just For Today  Cloquet Group</t>
  </si>
  <si>
    <t>ASC Rent Replacement check 3212</t>
  </si>
  <si>
    <t>Vermilion Awareness Event replacement check 3214</t>
  </si>
  <si>
    <t>Vermilion Prgramming Supplies</t>
  </si>
  <si>
    <t>Julie Merriman</t>
  </si>
  <si>
    <t>Activies for General Usage</t>
  </si>
  <si>
    <t>Copies of Minutes and Agenda</t>
  </si>
  <si>
    <t>Luau Replacement Cash Rent</t>
  </si>
  <si>
    <t>Ips and Booklets</t>
  </si>
  <si>
    <t>Clothing</t>
  </si>
  <si>
    <t xml:space="preserve">Auction </t>
  </si>
  <si>
    <t>Upper Lakes Food</t>
  </si>
  <si>
    <t>Food</t>
  </si>
  <si>
    <t>Voyageurs</t>
  </si>
  <si>
    <t>Lit for Group</t>
  </si>
  <si>
    <t>Depsoit Bags</t>
  </si>
  <si>
    <t>Registration Start Up Cash</t>
  </si>
  <si>
    <t>Vermilion Start Up Cash</t>
  </si>
  <si>
    <t>Online</t>
  </si>
  <si>
    <t>NARNON Portion</t>
  </si>
  <si>
    <t>Was 956.00 Fake $100</t>
  </si>
  <si>
    <t>Shandelle Friedman</t>
  </si>
  <si>
    <t>Returning Funds Held</t>
  </si>
  <si>
    <t>DJ - Should have been $330.00</t>
  </si>
  <si>
    <t>Travel - Gas</t>
  </si>
  <si>
    <t>Recycling</t>
  </si>
  <si>
    <t>John Belenger</t>
  </si>
  <si>
    <t>Westside Vineyard</t>
  </si>
  <si>
    <t>Halloween Expenses</t>
  </si>
  <si>
    <t>2018 New Years</t>
  </si>
  <si>
    <t>Necklace</t>
  </si>
  <si>
    <t>Halloween</t>
  </si>
  <si>
    <t>Mens H&amp;I Replace Check 3207</t>
  </si>
  <si>
    <t>Rental</t>
  </si>
  <si>
    <t>NLASC Check Register 12/01/2018-11/30/2019</t>
  </si>
  <si>
    <t>Trinity Lutheran</t>
  </si>
  <si>
    <t>Voyagours Lutheran Ministry</t>
  </si>
  <si>
    <t>Camp Deposit</t>
  </si>
  <si>
    <t>New Years Pop &amp; Sandwiches</t>
  </si>
  <si>
    <t>New Years Raffle &amp; Door Fee</t>
  </si>
  <si>
    <t>First Covenant Church</t>
  </si>
  <si>
    <t xml:space="preserve">New Years Rent </t>
  </si>
  <si>
    <t>MN Region Donation</t>
  </si>
  <si>
    <t>NA World Donation</t>
  </si>
  <si>
    <t>Spring Dance</t>
  </si>
  <si>
    <t xml:space="preserve">Additional RCM </t>
  </si>
  <si>
    <t>Vermillion Flyers</t>
  </si>
  <si>
    <t>Spring Dance Pop/food</t>
  </si>
  <si>
    <t>Spring Dance Door/Donations</t>
  </si>
  <si>
    <t xml:space="preserve">Meeting Lists </t>
  </si>
  <si>
    <t xml:space="preserve">U.S. Postal Service </t>
  </si>
  <si>
    <t>Renewal Fee</t>
  </si>
  <si>
    <t xml:space="preserve">Matthew Wagner </t>
  </si>
  <si>
    <t>Electronic Deposit</t>
  </si>
  <si>
    <t xml:space="preserve">RCM Millage </t>
  </si>
  <si>
    <t>Area- Paper Plates</t>
  </si>
  <si>
    <t>Spring Dance (Allowance return)</t>
  </si>
  <si>
    <t>Deluxe Business Products</t>
  </si>
  <si>
    <t xml:space="preserve"> Square Inc. </t>
  </si>
  <si>
    <t>Checks</t>
  </si>
  <si>
    <t xml:space="preserve">Deposit </t>
  </si>
  <si>
    <t>SLCHHSC Exhibitor Fee</t>
  </si>
  <si>
    <t>H&amp;I Replace check 3274</t>
  </si>
  <si>
    <t>Copies Replace Check 3274</t>
  </si>
  <si>
    <t>6/28//19</t>
  </si>
  <si>
    <t>6/31/19</t>
  </si>
  <si>
    <t>Drug Court IP&amp; White booklets</t>
  </si>
  <si>
    <t>Baskets for raffles</t>
  </si>
  <si>
    <t xml:space="preserve">Jessie Miller </t>
  </si>
  <si>
    <t>kids Games</t>
  </si>
  <si>
    <t xml:space="preserve">John Belanger </t>
  </si>
  <si>
    <t>Sams Club Supplies</t>
  </si>
  <si>
    <t xml:space="preserve">Clinton L. Strother </t>
  </si>
  <si>
    <t xml:space="preserve">Prizes/Tug of war </t>
  </si>
  <si>
    <t>Prizes for Bingo</t>
  </si>
  <si>
    <t xml:space="preserve">Kyle Peterson </t>
  </si>
  <si>
    <t>Vermillion Main Speaker</t>
  </si>
  <si>
    <t>Vermillion registreation Startup</t>
  </si>
  <si>
    <t>Vermillion Merchandise Startup</t>
  </si>
  <si>
    <t>RCM expenses</t>
  </si>
  <si>
    <t xml:space="preserve">On The Limit </t>
  </si>
  <si>
    <t xml:space="preserve">Deposit Record Books </t>
  </si>
  <si>
    <t xml:space="preserve">Online Regirstation </t>
  </si>
  <si>
    <t>Start up Return</t>
  </si>
  <si>
    <t xml:space="preserve">5pm Drop </t>
  </si>
  <si>
    <t xml:space="preserve">10pm drop </t>
  </si>
  <si>
    <t xml:space="preserve">11 pm drop </t>
  </si>
  <si>
    <t>noon</t>
  </si>
  <si>
    <t xml:space="preserve">7pm </t>
  </si>
  <si>
    <t>Raffle/Auction</t>
  </si>
  <si>
    <t xml:space="preserve">Noon </t>
  </si>
  <si>
    <t>NLANA 2020 PROPOSED BUDGET</t>
  </si>
  <si>
    <t>Vermilion Card Fees</t>
  </si>
  <si>
    <t>2019 Budget</t>
  </si>
  <si>
    <t>Recommended Budget 2019-20</t>
  </si>
  <si>
    <t>Estimated Bal Fwd to 2020</t>
  </si>
  <si>
    <t>TOTAL</t>
  </si>
  <si>
    <t>Estimated Additional</t>
  </si>
  <si>
    <t>Estimated Additional Expenses</t>
  </si>
  <si>
    <t>Budget Difference</t>
  </si>
  <si>
    <t>Check Register to Date</t>
  </si>
  <si>
    <t xml:space="preserve">Committee Proposal </t>
  </si>
  <si>
    <t xml:space="preserve">Gabriel Homes </t>
  </si>
  <si>
    <t>Square Deposit Fri</t>
  </si>
  <si>
    <t>Square Deposit Sat</t>
  </si>
  <si>
    <t>Vermillion Hypnotists</t>
  </si>
  <si>
    <t>Speaker Registration</t>
  </si>
  <si>
    <t xml:space="preserve">Newcomer Fees </t>
  </si>
  <si>
    <t>Committee Early Nights</t>
  </si>
  <si>
    <t>Bounced Check</t>
  </si>
  <si>
    <t>Amended Budget</t>
  </si>
  <si>
    <t>Notes to Amended Budget</t>
  </si>
  <si>
    <t xml:space="preserve">08/03/2019 Give Kitchen $1,000 remove $250 from Carry the Message, $150 from Mens Jail, $100 from St Louis County H&amp;H, $50 from GSR Orientation, $150 New Meeting Packet, and $300 from Misc Expense. These numbers are not be concidered for upcoming budget, it was an error is communication that the Kitchen committee thought there was an additional $1,000 available in their budget, and the other project budgets were donated for the remainder of the year. </t>
  </si>
  <si>
    <t xml:space="preserve">Vermilion Name Tags </t>
  </si>
  <si>
    <t>Julie Van Valkenburg</t>
  </si>
  <si>
    <t>Vermilion Banner Supplies</t>
  </si>
  <si>
    <t>Vemilion Banner Supplies</t>
  </si>
  <si>
    <t xml:space="preserve">SLCHHSC Booth Candy </t>
  </si>
  <si>
    <t>RCM Travel</t>
  </si>
  <si>
    <t xml:space="preserve">Dean Calson </t>
  </si>
  <si>
    <t>Halloween DJ</t>
  </si>
  <si>
    <t xml:space="preserve">Adult Games </t>
  </si>
  <si>
    <t>Public Relations Table</t>
  </si>
  <si>
    <t>meeting lists</t>
  </si>
  <si>
    <t>health and human services</t>
  </si>
  <si>
    <t xml:space="preserve">Learn4life </t>
  </si>
  <si>
    <t xml:space="preserve">Sheila Registration </t>
  </si>
  <si>
    <t>Crafts Money Return</t>
  </si>
  <si>
    <t>Games Money Return</t>
  </si>
  <si>
    <t>Programming Funds Returned</t>
  </si>
  <si>
    <t>Summer Merch Purchase</t>
  </si>
  <si>
    <t>Merchandise Money return</t>
  </si>
  <si>
    <t>On the limit return money</t>
  </si>
  <si>
    <t xml:space="preserve">Discrepency </t>
  </si>
  <si>
    <t xml:space="preserve">Square Deposit </t>
  </si>
  <si>
    <t xml:space="preserve">halloween food </t>
  </si>
  <si>
    <t>Halloween door donations</t>
  </si>
  <si>
    <t xml:space="preserve">One Roof </t>
  </si>
  <si>
    <t>Rent for Halloween Dance</t>
  </si>
  <si>
    <t xml:space="preserve">Halloween Budget </t>
  </si>
  <si>
    <t xml:space="preserve">Analysis Service Charge (bounced Check fee) </t>
  </si>
  <si>
    <t xml:space="preserve">EZ Storage </t>
  </si>
  <si>
    <t xml:space="preserve">Yearly Storage unit fee </t>
  </si>
  <si>
    <t>Yearly Subscription</t>
  </si>
  <si>
    <t>Secretary Expenses</t>
  </si>
  <si>
    <t xml:space="preserve">Treasurer Expenses </t>
  </si>
  <si>
    <t xml:space="preserve">SLCHHS Fair Booth Return </t>
  </si>
  <si>
    <t xml:space="preserve">SLCHHS Nar-anon Portion </t>
  </si>
  <si>
    <t>NLASC Check Register 01/01/2020-12/31/2020</t>
  </si>
  <si>
    <t>New Year's Party</t>
  </si>
  <si>
    <t>NYE Dance Rent</t>
  </si>
  <si>
    <t xml:space="preserve">Caitlin Milligan </t>
  </si>
  <si>
    <t xml:space="preserve">NYE Dance Budget </t>
  </si>
  <si>
    <t xml:space="preserve">Halloween Dance return </t>
  </si>
  <si>
    <t xml:space="preserve">We Made a Decision </t>
  </si>
  <si>
    <t xml:space="preserve">Deposits Bags </t>
  </si>
  <si>
    <t xml:space="preserve">World Region Donation </t>
  </si>
  <si>
    <t>Vermilion Merch Card Fees</t>
  </si>
  <si>
    <t>Vermilion Reg Card Fees</t>
  </si>
  <si>
    <t>Vermilion Registation Exp</t>
  </si>
  <si>
    <t>MN Region Donation *</t>
  </si>
  <si>
    <t>World Region Donation *</t>
  </si>
  <si>
    <t>*Checks to be apart of 2020 budget</t>
  </si>
  <si>
    <t>Activty Deposit for 2020</t>
  </si>
  <si>
    <t>Activty Deposit *</t>
  </si>
  <si>
    <t>2020 Budget</t>
  </si>
  <si>
    <t xml:space="preserve">ASC Room Rent </t>
  </si>
  <si>
    <t xml:space="preserve">Reimbursment for printing </t>
  </si>
  <si>
    <t xml:space="preserve">VLM </t>
  </si>
  <si>
    <t xml:space="preserve">Vermilion Deposit </t>
  </si>
  <si>
    <t xml:space="preserve">ISD 709 </t>
  </si>
  <si>
    <t>Feb Meeting Lists Ticket 71316</t>
  </si>
  <si>
    <t>Social Media (printing)</t>
  </si>
  <si>
    <t xml:space="preserve">Chair Expenses (Printing) </t>
  </si>
  <si>
    <t>Return of Unspent funds (NYE)</t>
  </si>
  <si>
    <t xml:space="preserve">Reimbursment for new water cooler </t>
  </si>
  <si>
    <t>RCM Creating Common wealth Ex.</t>
  </si>
  <si>
    <t>Spring Event</t>
  </si>
  <si>
    <t xml:space="preserve">P.O. Box yearly rental </t>
  </si>
  <si>
    <t xml:space="preserve">Return Money from CCW </t>
  </si>
  <si>
    <t xml:space="preserve">We Made a decision </t>
  </si>
  <si>
    <t>Bank Fees</t>
  </si>
  <si>
    <t>75% NA Minnesota Region</t>
  </si>
  <si>
    <t>25% NA World Service</t>
  </si>
  <si>
    <t>Annual Start Up Balance</t>
  </si>
  <si>
    <t>Zoom Expense</t>
  </si>
  <si>
    <t>NLANA 2021 PROPOSED BUDGET</t>
  </si>
  <si>
    <t>Budget Remaining</t>
  </si>
  <si>
    <t>Actual to Date</t>
  </si>
  <si>
    <t>Vermilion Only</t>
  </si>
  <si>
    <t>Personal Member Donations</t>
  </si>
  <si>
    <t>Personal Member Donations Fees</t>
  </si>
  <si>
    <t>Recoiliation Bank Error</t>
  </si>
  <si>
    <t>Proposed Budget 2021</t>
  </si>
  <si>
    <t>NLASC Check Register 01/01/2021-12/31/2021</t>
  </si>
  <si>
    <t>Only Expenses</t>
  </si>
  <si>
    <t>Register Balance</t>
  </si>
  <si>
    <t>Reconcilied Balance</t>
  </si>
  <si>
    <t>Outstanding Depsoits</t>
  </si>
  <si>
    <t>Oustanding Checks</t>
  </si>
  <si>
    <t>Bank Ending Balance</t>
  </si>
  <si>
    <t>November</t>
  </si>
  <si>
    <t>October</t>
  </si>
  <si>
    <t>September</t>
  </si>
  <si>
    <t>August</t>
  </si>
  <si>
    <t>July</t>
  </si>
  <si>
    <t>June</t>
  </si>
  <si>
    <t>May</t>
  </si>
  <si>
    <t>April</t>
  </si>
  <si>
    <t>March</t>
  </si>
  <si>
    <t>February</t>
  </si>
  <si>
    <t>January</t>
  </si>
  <si>
    <t>Outstanding Checks</t>
  </si>
  <si>
    <t>Outstanding Deposits</t>
  </si>
  <si>
    <t>Reconciled Balance</t>
  </si>
  <si>
    <t>Group Funds Held*</t>
  </si>
  <si>
    <t>Change to Beginning Balance to Match Records, Budget Beginning Balance was an estimation
*See Attached Group Funds Held for Detailed Transactions</t>
  </si>
  <si>
    <t>Time</t>
  </si>
  <si>
    <t>Total Collected</t>
  </si>
  <si>
    <t>Net Total Deposited</t>
  </si>
  <si>
    <t>Rompin Stompin</t>
  </si>
  <si>
    <t>We Made A Decision</t>
  </si>
  <si>
    <t>Change to Beginning Balance to Match Records, Budget Beginning Balance was an estimation
Motion to accept incorrectly written check 3393 to World for 40% Split
Motion change to NLANA Guidelines switching Operating Fiscal year from 12/0111/30 to 01/01-12/31
COVID19 Pandemic canceled Vermilion, and forced ending face to face meeting
Note expense not on Registrer: Zoom Monthly cost of $16.31 is being paid by a member as donation since April 2020
*See Attached Group Funds Held for Detailed Transactions</t>
  </si>
  <si>
    <t>Personal Member Donation</t>
  </si>
  <si>
    <t>Personal Member Fee</t>
  </si>
  <si>
    <t>Group Funds Deposit</t>
  </si>
  <si>
    <t>Group Funds Fee</t>
  </si>
  <si>
    <t>Group Dontations</t>
  </si>
  <si>
    <t>Zoom Fee</t>
  </si>
  <si>
    <t>Sunday, February 7, 2021</t>
  </si>
  <si>
    <t>Sunday, February 14, 2021</t>
  </si>
  <si>
    <t>Sunday, February 21, 2021</t>
  </si>
  <si>
    <t>Sunday, February 28, 2021</t>
  </si>
  <si>
    <t>Sunday, March 7, 2021</t>
  </si>
  <si>
    <t>Sunday, March 14, 2021</t>
  </si>
  <si>
    <t>Sunday, March 21, 2021</t>
  </si>
  <si>
    <t>Sunday, March 28, 2021</t>
  </si>
  <si>
    <t>4:17PM</t>
  </si>
  <si>
    <t xml:space="preserve"> 4:02 PM</t>
  </si>
  <si>
    <t>Monday, March 8, 2021</t>
  </si>
  <si>
    <t>Friday Living Clean</t>
  </si>
  <si>
    <t>Friday, March 26, 2021</t>
  </si>
  <si>
    <t>Move Funds to Correct Group</t>
  </si>
  <si>
    <t>Donation Square</t>
  </si>
  <si>
    <t>Fees Square</t>
  </si>
  <si>
    <t>Uhaul</t>
  </si>
  <si>
    <t>April 2021-March 2022</t>
  </si>
  <si>
    <t>Storage Shelves &amp; Rent(Dec-March)</t>
  </si>
  <si>
    <t>Bank Statement</t>
  </si>
  <si>
    <t>PO Box</t>
  </si>
  <si>
    <t>Church Rental</t>
  </si>
  <si>
    <t>Friday, April 2, 2021</t>
  </si>
  <si>
    <t>Sunday, April 4, 2021</t>
  </si>
  <si>
    <t>Monday, April 5, 2021</t>
  </si>
  <si>
    <t>Sunday, April 11, 2021</t>
  </si>
  <si>
    <t>Sunday, April 18,2021</t>
  </si>
  <si>
    <t>Sunday April 25, 2021</t>
  </si>
  <si>
    <t>Sunday May 2, 2021</t>
  </si>
  <si>
    <t>Sunday May 23, 2021</t>
  </si>
  <si>
    <t>`</t>
  </si>
  <si>
    <t>Shandelle Freedman</t>
  </si>
  <si>
    <t>Chris Corbet</t>
  </si>
  <si>
    <t>Harriet Chambers</t>
  </si>
  <si>
    <t>Bryan Johnson</t>
  </si>
  <si>
    <t>Meeting List</t>
  </si>
  <si>
    <t>Speaker Travel</t>
  </si>
  <si>
    <t>Rompin Stomp Literature</t>
  </si>
  <si>
    <t>St. Louis County Health  Registration</t>
  </si>
  <si>
    <t>Northbound Creative 2021</t>
  </si>
  <si>
    <t>Tim Beatty</t>
  </si>
  <si>
    <t>Carry The Message</t>
  </si>
  <si>
    <t>Printing Expense</t>
  </si>
  <si>
    <t>Caitlin Milligan - MN Power</t>
  </si>
  <si>
    <t>Bank Traansaction Error</t>
  </si>
  <si>
    <t>Caitlin Milligan - Transfer</t>
  </si>
  <si>
    <t>Correction of Bank Error</t>
  </si>
  <si>
    <t>Literature Order</t>
  </si>
  <si>
    <t>Donation to ASC</t>
  </si>
  <si>
    <t>Samantha Halon</t>
  </si>
  <si>
    <t>Marker, Copies, Prizes</t>
  </si>
  <si>
    <t>DJ Fee</t>
  </si>
  <si>
    <t>Cash Box Change</t>
  </si>
  <si>
    <t>John Belanger</t>
  </si>
  <si>
    <t>Programming Supplies</t>
  </si>
  <si>
    <t>Cash Box Return</t>
  </si>
  <si>
    <t>5PM Deposit</t>
  </si>
  <si>
    <t>9PM Deposit</t>
  </si>
  <si>
    <t>Noon Deposit</t>
  </si>
  <si>
    <t>4PM Deposit</t>
  </si>
  <si>
    <t>Vermilion Pre-registration</t>
  </si>
  <si>
    <t>Upper Lakes</t>
  </si>
  <si>
    <t>Vermilion Kitchen-(Electronic Trans)</t>
  </si>
  <si>
    <t>Square Depost</t>
  </si>
  <si>
    <t>Voyagours Luth Minis</t>
  </si>
  <si>
    <t>Spkr $140, DJ $125, Yoga $50</t>
  </si>
  <si>
    <t>Labor Fee</t>
  </si>
  <si>
    <t>Mask</t>
  </si>
  <si>
    <t>SLCHHS Nar-anon Portion</t>
  </si>
  <si>
    <t>Church Rental-Aug &amp; Oct</t>
  </si>
  <si>
    <t>Halloween Budget</t>
  </si>
  <si>
    <t>Halloween Dance Return</t>
  </si>
  <si>
    <t>Activities Income</t>
  </si>
  <si>
    <t>New Years Eve Budget</t>
  </si>
  <si>
    <t>Group Dontations-Living Clean</t>
  </si>
  <si>
    <t>Group Dontations-We Made A Decision</t>
  </si>
  <si>
    <t>Group Dontations- Hope Not Dope</t>
  </si>
  <si>
    <t>Vermilion Newcomer Donations</t>
  </si>
  <si>
    <t>Record Newcomer Donations</t>
  </si>
  <si>
    <t>Record Newcomer Discounts Given</t>
  </si>
  <si>
    <t>Payee or Receipt Number</t>
  </si>
  <si>
    <t>Raffle Tickets</t>
  </si>
  <si>
    <t>Misc Kitchen Foods</t>
  </si>
  <si>
    <t>Registration Flyers</t>
  </si>
  <si>
    <t>Math Check should equal zero</t>
  </si>
  <si>
    <t xml:space="preserve">Should equal Available Balance </t>
  </si>
  <si>
    <t>Materials</t>
  </si>
  <si>
    <t>NAMinnesota Online</t>
  </si>
  <si>
    <t>Square Credit Card Transactions</t>
  </si>
  <si>
    <t>Vermilion Merchandise Exp</t>
  </si>
  <si>
    <t>Vermilion Newcomer/Hardship Inc</t>
  </si>
  <si>
    <t>Vermilion Newcomer/Hardship Exp</t>
  </si>
  <si>
    <t>Vermilion Adult Games</t>
  </si>
  <si>
    <t>Vermilion Misc                                            </t>
  </si>
  <si>
    <t>Donations Received</t>
  </si>
  <si>
    <t>Math Check Available Balance</t>
  </si>
  <si>
    <t>Should equal zero</t>
  </si>
  <si>
    <t>NLANA 2022 PROPOSED BUDGET</t>
  </si>
  <si>
    <t>Revised 12/4/2021</t>
  </si>
  <si>
    <t>2021 Budget</t>
  </si>
  <si>
    <t>2022 Proposal</t>
  </si>
  <si>
    <t>Area Operations</t>
  </si>
  <si>
    <t>Vermilion Operations</t>
  </si>
  <si>
    <t>Projected Contri-butions</t>
  </si>
  <si>
    <t>Available Funds</t>
  </si>
  <si>
    <t>Total Income</t>
  </si>
  <si>
    <r>
      <t xml:space="preserve">Vermilion Misc                          </t>
    </r>
    <r>
      <rPr>
        <u/>
        <sz val="12"/>
        <rFont val="Calibri"/>
        <family val="2"/>
      </rPr>
      <t>                  </t>
    </r>
  </si>
  <si>
    <t>Total Expenses</t>
  </si>
  <si>
    <t>Net Difference</t>
  </si>
  <si>
    <t>Total Vermilion Income</t>
  </si>
  <si>
    <t>Total Vermilion Expenses</t>
  </si>
  <si>
    <t>Net Vermilion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</si>
</sst>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8" formatCode="&quot;$&quot;#,##0.00_);[Red]\(&quot;$&quot;#,##0.00\)"/>
    <numFmt numFmtId="44" formatCode="_(&quot;$&quot;* #,##0.00_);_(&quot;$&quot;* \(#,##0.00\);_(&quot;$&quot;* &quot;-&quot;??_);_(@_)"/>
    <numFmt numFmtId="43" formatCode="_(* #,##0.00_);_(* \(#,##0.00\);_(* &quot;-&quot;??_);_(@_)"/>
    <numFmt numFmtId="164" formatCode="&quot;$&quot;#,##0.00"/>
    <numFmt numFmtId="165" formatCode="_(\$* #,##0.00_);_(\$* \(#,##0.00\);_(\$* \-??_);_(@_)"/>
    <numFmt numFmtId="166" formatCode="m/d/yy;@"/>
    <numFmt numFmtId="167" formatCode="_(* #,##0.0000_);_(* \(#,##0.0000\);_(* &quot;-&quot;??_);_(@_)"/>
    <numFmt numFmtId="168" formatCode="[$-F800]dddd\,\ mmmm\ dd\,\ yyyy"/>
    <numFmt numFmtId="169" formatCode="[$-409]h:mm\ AM/PM;@"/>
    <numFmt numFmtId="170" formatCode="[$-F400]h:mm:ss\ AM/PM"/>
  </numFmts>
  <fonts count="88" x14ac:knownFonts="1">
    <font>
      <sz val="10"/>
      <color theme="1"/>
      <name val="Corbel"/>
      <family val="2"/>
      <scheme val="minor"/>
    </font>
    <font>
      <sz val="11"/>
      <color theme="1"/>
      <name val="Corbel"/>
      <family val="2"/>
      <scheme val="minor"/>
    </font>
    <font>
      <sz val="11"/>
      <color theme="1"/>
      <name val="Calibri"/>
      <family val="2"/>
    </font>
    <font>
      <sz val="11"/>
      <color theme="1"/>
      <name val="Segoe UI"/>
      <family val="2"/>
    </font>
    <font>
      <sz val="16"/>
      <color theme="1" tint="0.499984740745262"/>
      <name val="Segoe UI Light"/>
      <family val="2"/>
    </font>
    <font>
      <sz val="10"/>
      <color theme="1"/>
      <name val="Segoe UI"/>
      <family val="2"/>
    </font>
    <font>
      <sz val="18"/>
      <color theme="1" tint="0.499984740745262"/>
      <name val="Segoe UI Light"/>
      <family val="2"/>
    </font>
    <font>
      <sz val="16"/>
      <color theme="4" tint="-0.249977111117893"/>
      <name val="Segoe UI Light"/>
      <family val="2"/>
    </font>
    <font>
      <sz val="36"/>
      <color rgb="FF7FD13B"/>
      <name val="Segoe UI Light"/>
      <family val="2"/>
    </font>
    <font>
      <sz val="12"/>
      <color theme="1"/>
      <name val="Corbel"/>
      <family val="2"/>
      <scheme val="minor"/>
    </font>
    <font>
      <b/>
      <sz val="10"/>
      <color theme="1"/>
      <name val="Corbel"/>
      <family val="2"/>
      <scheme val="minor"/>
    </font>
    <font>
      <sz val="11"/>
      <color theme="0" tint="-0.499984740745262"/>
      <name val="Segoe UI"/>
      <family val="2"/>
    </font>
    <font>
      <b/>
      <sz val="18"/>
      <color theme="1" tint="0.499984740745262"/>
      <name val="Segoe UI Light"/>
      <family val="2"/>
    </font>
    <font>
      <sz val="10"/>
      <name val="Corbel"/>
      <family val="2"/>
      <scheme val="minor"/>
    </font>
    <font>
      <sz val="9"/>
      <name val="Corbel"/>
      <family val="2"/>
      <scheme val="minor"/>
    </font>
    <font>
      <sz val="10"/>
      <color theme="1"/>
      <name val="Corbel"/>
      <family val="2"/>
      <scheme val="minor"/>
    </font>
    <font>
      <b/>
      <sz val="10"/>
      <name val="Corbel"/>
      <family val="2"/>
      <scheme val="minor"/>
    </font>
    <font>
      <b/>
      <sz val="14"/>
      <name val="Corbel"/>
      <family val="2"/>
      <scheme val="minor"/>
    </font>
    <font>
      <i/>
      <sz val="10"/>
      <name val="Corbel"/>
      <family val="2"/>
      <scheme val="minor"/>
    </font>
    <font>
      <sz val="12"/>
      <color theme="1"/>
      <name val="Corbel"/>
      <family val="2"/>
      <scheme val="minor"/>
    </font>
    <font>
      <sz val="28"/>
      <color theme="1"/>
      <name val="Segoe UI Light"/>
      <family val="2"/>
    </font>
    <font>
      <sz val="36"/>
      <color theme="1"/>
      <name val="Segoe UI Light"/>
      <family val="2"/>
    </font>
    <font>
      <sz val="16"/>
      <color theme="1"/>
      <name val="Segoe UI Light"/>
      <family val="2"/>
    </font>
    <font>
      <sz val="18"/>
      <color theme="1"/>
      <name val="Segoe UI Light"/>
      <family val="2"/>
    </font>
    <font>
      <sz val="10"/>
      <name val="Corbel"/>
      <family val="2"/>
      <scheme val="minor"/>
    </font>
    <font>
      <sz val="11"/>
      <color rgb="FF000000"/>
      <name val="Segoe UI"/>
      <family val="2"/>
    </font>
    <font>
      <sz val="10"/>
      <color rgb="FF000000"/>
      <name val="Corbel"/>
      <family val="2"/>
      <scheme val="minor"/>
    </font>
    <font>
      <sz val="10"/>
      <color rgb="FFFF0000"/>
      <name val="Corbel"/>
      <family val="2"/>
      <scheme val="minor"/>
    </font>
    <font>
      <sz val="11"/>
      <color theme="1"/>
      <name val="Calibri"/>
      <family val="2"/>
    </font>
    <font>
      <sz val="28"/>
      <color theme="1"/>
      <name val="Calibri"/>
      <family val="2"/>
    </font>
    <font>
      <sz val="36"/>
      <color theme="1"/>
      <name val="Calibri"/>
      <family val="2"/>
    </font>
    <font>
      <sz val="10"/>
      <color theme="1"/>
      <name val="Calibri"/>
      <family val="2"/>
    </font>
    <font>
      <sz val="16"/>
      <color theme="1"/>
      <name val="Calibri"/>
      <family val="2"/>
    </font>
    <font>
      <sz val="18"/>
      <color theme="1"/>
      <name val="Calibri"/>
      <family val="2"/>
    </font>
    <font>
      <b/>
      <sz val="18"/>
      <color theme="1"/>
      <name val="Calibri"/>
      <family val="2"/>
    </font>
    <font>
      <sz val="12"/>
      <color theme="1"/>
      <name val="Calibri"/>
      <family val="2"/>
    </font>
    <font>
      <sz val="10"/>
      <name val="Calibri"/>
      <family val="2"/>
    </font>
    <font>
      <sz val="10"/>
      <color rgb="FF000000"/>
      <name val="Calibri"/>
      <family val="2"/>
    </font>
    <font>
      <sz val="11"/>
      <color rgb="FF000000"/>
      <name val="Calibri"/>
      <family val="2"/>
    </font>
    <font>
      <b/>
      <sz val="10"/>
      <name val="Calibri"/>
      <family val="2"/>
    </font>
    <font>
      <b/>
      <sz val="10"/>
      <color theme="1"/>
      <name val="Calibri"/>
      <family val="2"/>
    </font>
    <font>
      <sz val="10"/>
      <color rgb="FFFF0000"/>
      <name val="Calibri"/>
      <family val="2"/>
    </font>
    <font>
      <sz val="12"/>
      <color rgb="FFFF0000"/>
      <name val="Calibri"/>
      <family val="2"/>
    </font>
    <font>
      <sz val="10"/>
      <name val="Calibri"/>
      <family val="2"/>
    </font>
    <font>
      <sz val="10"/>
      <color rgb="FF000000"/>
      <name val="Calibri"/>
      <family val="2"/>
    </font>
    <font>
      <sz val="11"/>
      <color rgb="FF000000"/>
      <name val="Calibri"/>
      <family val="2"/>
    </font>
    <font>
      <b/>
      <sz val="11"/>
      <color theme="1"/>
      <name val="Calibri"/>
      <family val="2"/>
    </font>
    <font>
      <sz val="10"/>
      <name val="Calibri"/>
      <family val="2"/>
    </font>
    <font>
      <sz val="10"/>
      <color rgb="FF000000"/>
      <name val="Calibri"/>
      <family val="2"/>
    </font>
    <font>
      <sz val="11"/>
      <color rgb="FF1F497D"/>
      <name val="Calibri"/>
      <family val="2"/>
    </font>
    <font>
      <sz val="10"/>
      <name val="Calibri"/>
      <family val="2"/>
    </font>
    <font>
      <sz val="10"/>
      <color rgb="FF000000"/>
      <name val="Calibri"/>
      <family val="2"/>
    </font>
    <font>
      <sz val="10"/>
      <name val="Calibri"/>
      <family val="2"/>
    </font>
    <font>
      <sz val="10"/>
      <color rgb="FF000000"/>
      <name val="Calibri"/>
      <family val="2"/>
    </font>
    <font>
      <sz val="9"/>
      <color theme="1"/>
      <name val="Calibri"/>
      <family val="2"/>
    </font>
    <font>
      <b/>
      <sz val="12"/>
      <color theme="1"/>
      <name val="Corbel"/>
      <family val="2"/>
      <scheme val="minor"/>
    </font>
    <font>
      <sz val="11"/>
      <color theme="0"/>
      <name val="Corbel"/>
      <family val="2"/>
      <scheme val="minor"/>
    </font>
    <font>
      <sz val="10"/>
      <color rgb="FF000000"/>
      <name val="Calibri"/>
      <family val="2"/>
    </font>
    <font>
      <sz val="10"/>
      <name val="Calibri"/>
      <family val="2"/>
    </font>
    <font>
      <sz val="11"/>
      <name val="Corbel"/>
      <family val="2"/>
      <scheme val="minor"/>
    </font>
    <font>
      <sz val="10"/>
      <color rgb="FF000000"/>
      <name val="Calibri"/>
      <family val="2"/>
    </font>
    <font>
      <sz val="10"/>
      <name val="Calibri"/>
      <family val="2"/>
    </font>
    <font>
      <sz val="11"/>
      <color theme="0"/>
      <name val="Calibri"/>
      <family val="2"/>
    </font>
    <font>
      <sz val="11"/>
      <name val="Calibri"/>
      <family val="2"/>
    </font>
    <font>
      <b/>
      <sz val="12"/>
      <color theme="1"/>
      <name val="Times New Roman"/>
      <family val="1"/>
    </font>
    <font>
      <sz val="10"/>
      <color theme="1"/>
      <name val="Times New Roman"/>
      <family val="1"/>
    </font>
    <font>
      <b/>
      <sz val="10"/>
      <color theme="1"/>
      <name val="Times New Roman"/>
      <family val="1"/>
    </font>
    <font>
      <sz val="10"/>
      <color theme="0"/>
      <name val="Calibri"/>
      <family val="2"/>
    </font>
    <font>
      <sz val="10"/>
      <color rgb="FF1F497D"/>
      <name val="Calibri"/>
      <family val="2"/>
    </font>
    <font>
      <sz val="8"/>
      <name val="Corbel"/>
      <family val="2"/>
      <scheme val="minor"/>
    </font>
    <font>
      <b/>
      <u/>
      <sz val="10"/>
      <color theme="1"/>
      <name val="Calibri"/>
      <family val="2"/>
    </font>
    <font>
      <sz val="10"/>
      <name val="Calibri"/>
      <family val="2"/>
    </font>
    <font>
      <sz val="12"/>
      <color theme="1"/>
      <name val="Arial"/>
      <family val="2"/>
    </font>
    <font>
      <sz val="10"/>
      <color theme="5"/>
      <name val="Calibri"/>
      <family val="2"/>
    </font>
    <font>
      <sz val="10"/>
      <color rgb="FF000000"/>
      <name val="Calibri"/>
      <family val="2"/>
    </font>
    <font>
      <b/>
      <sz val="12"/>
      <color theme="1"/>
      <name val="Calibri"/>
      <family val="2"/>
    </font>
    <font>
      <sz val="10"/>
      <color rgb="FF000000"/>
      <name val="Calibri"/>
      <family val="2"/>
    </font>
    <font>
      <sz val="10"/>
      <name val="Calibri"/>
      <family val="2"/>
    </font>
    <font>
      <sz val="10"/>
      <color rgb="FF000000"/>
      <name val="Calibri"/>
    </font>
    <font>
      <sz val="10"/>
      <name val="Calibri"/>
    </font>
    <font>
      <b/>
      <sz val="12"/>
      <color rgb="FF000000"/>
      <name val="Calibri"/>
      <family val="2"/>
    </font>
    <font>
      <b/>
      <u/>
      <sz val="12"/>
      <name val="Calibri"/>
      <family val="2"/>
    </font>
    <font>
      <b/>
      <u val="singleAccounting"/>
      <sz val="12"/>
      <color rgb="FF000000"/>
      <name val="Calibri"/>
      <family val="2"/>
    </font>
    <font>
      <sz val="12"/>
      <name val="Calibri"/>
      <family val="2"/>
    </font>
    <font>
      <sz val="12"/>
      <color rgb="FF000000"/>
      <name val="Calibri"/>
      <family val="2"/>
    </font>
    <font>
      <b/>
      <sz val="12"/>
      <name val="Calibri"/>
      <family val="2"/>
    </font>
    <font>
      <u/>
      <sz val="12"/>
      <name val="Calibri"/>
      <family val="2"/>
    </font>
    <font>
      <b/>
      <u/>
      <sz val="12"/>
      <color rgb="FF000000"/>
      <name val="Calibri"/>
      <family val="2"/>
    </font>
  </fonts>
  <fills count="8">
    <fill>
      <patternFill patternType="none"/>
    </fill>
    <fill>
      <patternFill patternType="gray125"/>
    </fill>
    <fill>
      <patternFill patternType="solid">
        <fgColor rgb="FFFFFFCC"/>
      </patternFill>
    </fill>
    <fill>
      <patternFill patternType="solid">
        <fgColor theme="4" tint="0.79998168889431442"/>
        <bgColor indexed="64"/>
      </patternFill>
    </fill>
    <fill>
      <patternFill patternType="solid">
        <fgColor rgb="FFFFFF00"/>
        <bgColor indexed="64"/>
      </patternFill>
    </fill>
    <fill>
      <patternFill patternType="solid">
        <fgColor theme="9" tint="0.59999389629810485"/>
        <bgColor indexed="64"/>
      </patternFill>
    </fill>
    <fill>
      <patternFill patternType="solid">
        <fgColor theme="8"/>
      </patternFill>
    </fill>
    <fill>
      <patternFill patternType="solid">
        <fgColor theme="1"/>
        <bgColor indexed="64"/>
      </patternFill>
    </fill>
  </fills>
  <borders count="33">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4"/>
      </left>
      <right style="thin">
        <color theme="4"/>
      </right>
      <top style="thin">
        <color theme="4"/>
      </top>
      <bottom style="thin">
        <color theme="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bottom/>
      <diagonal/>
    </border>
    <border>
      <left/>
      <right style="medium">
        <color indexed="64"/>
      </right>
      <top/>
      <bottom/>
      <diagonal/>
    </border>
    <border>
      <left/>
      <right/>
      <top/>
      <bottom style="double">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4"/>
      </left>
      <right style="thin">
        <color theme="4"/>
      </right>
      <top/>
      <bottom style="thin">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theme="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double">
        <color indexed="64"/>
      </top>
      <bottom style="double">
        <color indexed="64"/>
      </bottom>
      <diagonal/>
    </border>
    <border>
      <left/>
      <right/>
      <top style="thin">
        <color indexed="64"/>
      </top>
      <bottom style="thin">
        <color indexed="64"/>
      </bottom>
      <diagonal/>
    </border>
  </borders>
  <cellStyleXfs count="7">
    <xf numFmtId="0" fontId="0" fillId="0" borderId="0"/>
    <xf numFmtId="0" fontId="15" fillId="2" borderId="1" applyNumberFormat="0" applyFont="0" applyAlignment="0" applyProtection="0"/>
    <xf numFmtId="44" fontId="15" fillId="0" borderId="0" applyFont="0" applyFill="0" applyBorder="0" applyAlignment="0" applyProtection="0"/>
    <xf numFmtId="43" fontId="15" fillId="0" borderId="0" applyFont="0" applyFill="0" applyBorder="0" applyAlignment="0" applyProtection="0"/>
    <xf numFmtId="0" fontId="56" fillId="6" borderId="0" applyNumberFormat="0" applyBorder="0" applyAlignment="0" applyProtection="0"/>
    <xf numFmtId="0" fontId="1" fillId="0" borderId="0"/>
    <xf numFmtId="43" fontId="1" fillId="0" borderId="0" applyFont="0" applyFill="0" applyBorder="0" applyAlignment="0" applyProtection="0"/>
  </cellStyleXfs>
  <cellXfs count="591">
    <xf numFmtId="0" fontId="0" fillId="0" borderId="0" xfId="0"/>
    <xf numFmtId="0" fontId="3" fillId="0" borderId="0" xfId="0" applyFont="1"/>
    <xf numFmtId="0" fontId="4" fillId="0" borderId="0" xfId="0" applyFont="1" applyAlignment="1"/>
    <xf numFmtId="0" fontId="5" fillId="0" borderId="0" xfId="0" applyFont="1"/>
    <xf numFmtId="0" fontId="0" fillId="0" borderId="0" xfId="0" applyFont="1" applyFill="1" applyBorder="1"/>
    <xf numFmtId="164" fontId="0" fillId="0" borderId="0" xfId="0" applyNumberFormat="1" applyFont="1" applyFill="1" applyBorder="1"/>
    <xf numFmtId="0" fontId="0" fillId="0" borderId="0" xfId="0" applyAlignment="1">
      <alignment vertical="center"/>
    </xf>
    <xf numFmtId="0" fontId="8" fillId="0" borderId="0" xfId="0" applyFont="1" applyAlignment="1"/>
    <xf numFmtId="0" fontId="7" fillId="0" borderId="0" xfId="0" applyFont="1" applyAlignment="1"/>
    <xf numFmtId="0" fontId="6" fillId="0" borderId="0" xfId="0" applyFont="1" applyAlignment="1">
      <alignment vertical="center"/>
    </xf>
    <xf numFmtId="0" fontId="0" fillId="0" borderId="0" xfId="0" applyAlignment="1">
      <alignment horizontal="right" vertical="center"/>
    </xf>
    <xf numFmtId="0" fontId="9" fillId="0" borderId="0" xfId="0" applyFont="1" applyFill="1" applyBorder="1" applyAlignment="1">
      <alignment horizontal="right" vertical="center"/>
    </xf>
    <xf numFmtId="0" fontId="12" fillId="0" borderId="0" xfId="0" applyFont="1" applyAlignment="1">
      <alignment vertical="center"/>
    </xf>
    <xf numFmtId="0" fontId="14" fillId="0" borderId="0" xfId="0" applyFont="1"/>
    <xf numFmtId="164" fontId="13" fillId="0" borderId="0" xfId="0" applyNumberFormat="1" applyFont="1" applyAlignment="1">
      <alignment vertical="center"/>
    </xf>
    <xf numFmtId="0" fontId="13" fillId="3" borderId="2" xfId="1" applyFont="1" applyFill="1" applyBorder="1" applyAlignment="1">
      <alignment vertical="top" wrapText="1"/>
    </xf>
    <xf numFmtId="0" fontId="13" fillId="3" borderId="3" xfId="1" applyFont="1" applyFill="1" applyBorder="1" applyAlignment="1">
      <alignment vertical="top" wrapText="1"/>
    </xf>
    <xf numFmtId="0" fontId="13" fillId="3" borderId="4" xfId="1" applyFont="1" applyFill="1" applyBorder="1" applyAlignment="1">
      <alignment vertical="top" wrapText="1"/>
    </xf>
    <xf numFmtId="0" fontId="9" fillId="0" borderId="0" xfId="0" applyFont="1" applyFill="1" applyBorder="1" applyAlignment="1">
      <alignment horizontal="left" vertical="center"/>
    </xf>
    <xf numFmtId="0" fontId="10" fillId="0" borderId="0" xfId="0" applyFont="1" applyFill="1" applyBorder="1" applyAlignment="1">
      <alignment horizontal="left"/>
    </xf>
    <xf numFmtId="0" fontId="0" fillId="0" borderId="0" xfId="0" applyFont="1" applyFill="1" applyBorder="1" applyAlignment="1">
      <alignment horizontal="left"/>
    </xf>
    <xf numFmtId="14" fontId="10" fillId="0" borderId="0" xfId="0" applyNumberFormat="1" applyFont="1" applyFill="1" applyBorder="1" applyAlignment="1">
      <alignment horizontal="left"/>
    </xf>
    <xf numFmtId="14" fontId="0" fillId="0" borderId="0" xfId="0" applyNumberFormat="1" applyFont="1" applyFill="1" applyBorder="1" applyAlignment="1">
      <alignment horizontal="left"/>
    </xf>
    <xf numFmtId="164" fontId="10" fillId="0" borderId="0" xfId="0" applyNumberFormat="1" applyFont="1" applyFill="1" applyBorder="1" applyAlignment="1">
      <alignment horizontal="right"/>
    </xf>
    <xf numFmtId="164" fontId="0" fillId="0" borderId="0" xfId="0" applyNumberFormat="1" applyFont="1" applyFill="1" applyBorder="1" applyAlignment="1">
      <alignment horizontal="right"/>
    </xf>
    <xf numFmtId="0" fontId="0" fillId="0" borderId="0" xfId="0" applyAlignment="1">
      <alignment horizontal="left"/>
    </xf>
    <xf numFmtId="164" fontId="0" fillId="0" borderId="0" xfId="0" applyNumberFormat="1" applyAlignment="1">
      <alignment horizontal="right"/>
    </xf>
    <xf numFmtId="0" fontId="14" fillId="0" borderId="0" xfId="0" applyFont="1" applyFill="1"/>
    <xf numFmtId="165" fontId="0" fillId="0" borderId="0" xfId="0" applyNumberFormat="1" applyAlignment="1">
      <alignment vertical="center"/>
    </xf>
    <xf numFmtId="44" fontId="0" fillId="0" borderId="0" xfId="2" applyFont="1"/>
    <xf numFmtId="44" fontId="0" fillId="0" borderId="0" xfId="2" applyFont="1" applyAlignment="1">
      <alignment vertical="center"/>
    </xf>
    <xf numFmtId="0" fontId="9" fillId="0" borderId="0" xfId="0" applyNumberFormat="1" applyFont="1" applyFill="1" applyBorder="1" applyAlignment="1">
      <alignment horizontal="left" vertical="center"/>
    </xf>
    <xf numFmtId="0" fontId="0" fillId="0" borderId="0" xfId="0" applyNumberFormat="1" applyFont="1" applyFill="1" applyBorder="1" applyAlignment="1">
      <alignment horizontal="left" vertical="center"/>
    </xf>
    <xf numFmtId="0" fontId="9" fillId="0" borderId="0" xfId="0" applyNumberFormat="1" applyFont="1" applyFill="1" applyBorder="1" applyAlignment="1">
      <alignment horizontal="right" vertical="center"/>
    </xf>
    <xf numFmtId="0" fontId="16" fillId="0" borderId="0" xfId="0" applyNumberFormat="1" applyFont="1" applyFill="1" applyBorder="1" applyAlignment="1">
      <alignment horizontal="left"/>
    </xf>
    <xf numFmtId="14" fontId="16" fillId="0" borderId="0" xfId="0" applyNumberFormat="1" applyFont="1" applyFill="1" applyBorder="1" applyAlignment="1">
      <alignment horizontal="left"/>
    </xf>
    <xf numFmtId="43" fontId="16" fillId="0" borderId="0" xfId="3" applyFont="1" applyFill="1" applyBorder="1" applyAlignment="1">
      <alignment horizontal="right"/>
    </xf>
    <xf numFmtId="0" fontId="13" fillId="0" borderId="0" xfId="0" applyNumberFormat="1" applyFont="1" applyFill="1" applyBorder="1" applyAlignment="1">
      <alignment horizontal="left"/>
    </xf>
    <xf numFmtId="43" fontId="13" fillId="0" borderId="0" xfId="3" applyFont="1" applyFill="1" applyBorder="1" applyAlignment="1">
      <alignment horizontal="right"/>
    </xf>
    <xf numFmtId="14" fontId="13" fillId="0" borderId="0" xfId="0" applyNumberFormat="1" applyFont="1" applyFill="1" applyBorder="1" applyAlignment="1">
      <alignment horizontal="left"/>
    </xf>
    <xf numFmtId="43" fontId="16" fillId="0" borderId="0" xfId="3" applyNumberFormat="1" applyFont="1" applyFill="1" applyBorder="1" applyAlignment="1">
      <alignment horizontal="right"/>
    </xf>
    <xf numFmtId="43" fontId="13" fillId="0" borderId="0" xfId="0" applyNumberFormat="1" applyFont="1" applyFill="1" applyBorder="1" applyAlignment="1">
      <alignment horizontal="right"/>
    </xf>
    <xf numFmtId="39" fontId="13" fillId="0" borderId="0" xfId="0" applyNumberFormat="1" applyFont="1" applyFill="1" applyBorder="1" applyAlignment="1">
      <alignment horizontal="right"/>
    </xf>
    <xf numFmtId="0" fontId="13" fillId="0" borderId="0" xfId="0" applyNumberFormat="1" applyFont="1" applyFill="1" applyBorder="1" applyAlignment="1">
      <alignment horizontal="right"/>
    </xf>
    <xf numFmtId="0" fontId="26" fillId="0" borderId="0" xfId="0" applyFont="1" applyFill="1" applyBorder="1" applyAlignment="1">
      <alignment horizontal="right"/>
    </xf>
    <xf numFmtId="0" fontId="0" fillId="0" borderId="0" xfId="0" applyFont="1" applyFill="1"/>
    <xf numFmtId="0" fontId="13" fillId="0" borderId="0" xfId="0" applyNumberFormat="1" applyFont="1" applyFill="1" applyAlignment="1">
      <alignment horizontal="left"/>
    </xf>
    <xf numFmtId="14" fontId="13" fillId="0" borderId="0" xfId="0" applyNumberFormat="1" applyFont="1" applyFill="1" applyAlignment="1">
      <alignment horizontal="left"/>
    </xf>
    <xf numFmtId="43" fontId="13" fillId="0" borderId="0" xfId="3" applyFont="1" applyFill="1" applyAlignment="1">
      <alignment horizontal="right"/>
    </xf>
    <xf numFmtId="0" fontId="13" fillId="0" borderId="0" xfId="0" applyNumberFormat="1" applyFont="1" applyFill="1" applyAlignment="1">
      <alignment horizontal="center"/>
    </xf>
    <xf numFmtId="14" fontId="27" fillId="0" borderId="0" xfId="0" applyNumberFormat="1" applyFont="1" applyFill="1" applyAlignment="1">
      <alignment horizontal="right"/>
    </xf>
    <xf numFmtId="0" fontId="26" fillId="0" borderId="0" xfId="3" applyNumberFormat="1" applyFont="1" applyFill="1"/>
    <xf numFmtId="0" fontId="28" fillId="0" borderId="0" xfId="0" applyFont="1"/>
    <xf numFmtId="0" fontId="32" fillId="0" borderId="0" xfId="0" applyFont="1" applyAlignment="1"/>
    <xf numFmtId="0" fontId="36" fillId="0" borderId="0" xfId="0" applyNumberFormat="1" applyFont="1" applyFill="1" applyBorder="1" applyAlignment="1">
      <alignment horizontal="left"/>
    </xf>
    <xf numFmtId="14" fontId="36" fillId="0" borderId="0" xfId="0" applyNumberFormat="1" applyFont="1" applyFill="1" applyBorder="1" applyAlignment="1">
      <alignment horizontal="left"/>
    </xf>
    <xf numFmtId="43" fontId="36" fillId="0" borderId="0" xfId="3" applyFont="1" applyFill="1" applyBorder="1" applyAlignment="1">
      <alignment horizontal="right"/>
    </xf>
    <xf numFmtId="43" fontId="36" fillId="0" borderId="0" xfId="3" applyFont="1" applyAlignment="1">
      <alignment horizontal="right"/>
    </xf>
    <xf numFmtId="43" fontId="36" fillId="0" borderId="0" xfId="3" applyNumberFormat="1" applyFont="1" applyFill="1" applyBorder="1" applyAlignment="1">
      <alignment horizontal="right"/>
    </xf>
    <xf numFmtId="0" fontId="36" fillId="0" borderId="0" xfId="0" applyNumberFormat="1" applyFont="1" applyAlignment="1">
      <alignment horizontal="left"/>
    </xf>
    <xf numFmtId="14" fontId="37" fillId="0" borderId="0" xfId="0" applyNumberFormat="1" applyFont="1" applyAlignment="1">
      <alignment horizontal="right"/>
    </xf>
    <xf numFmtId="0" fontId="37" fillId="0" borderId="0" xfId="0" applyNumberFormat="1" applyFont="1" applyAlignment="1">
      <alignment horizontal="right"/>
    </xf>
    <xf numFmtId="14" fontId="36" fillId="0" borderId="0" xfId="0" applyNumberFormat="1" applyFont="1" applyAlignment="1">
      <alignment horizontal="left"/>
    </xf>
    <xf numFmtId="0" fontId="36" fillId="4" borderId="0" xfId="0" applyNumberFormat="1" applyFont="1" applyFill="1" applyAlignment="1">
      <alignment horizontal="left"/>
    </xf>
    <xf numFmtId="14" fontId="36" fillId="4" borderId="0" xfId="0" applyNumberFormat="1" applyFont="1" applyFill="1" applyAlignment="1">
      <alignment horizontal="left"/>
    </xf>
    <xf numFmtId="43" fontId="36" fillId="4" borderId="0" xfId="3" applyFont="1" applyFill="1" applyAlignment="1">
      <alignment horizontal="right"/>
    </xf>
    <xf numFmtId="14" fontId="37" fillId="4" borderId="0" xfId="0" applyNumberFormat="1" applyFont="1" applyFill="1" applyAlignment="1">
      <alignment horizontal="right"/>
    </xf>
    <xf numFmtId="0" fontId="31" fillId="0" borderId="0" xfId="0" applyFont="1" applyAlignment="1">
      <alignment vertical="center"/>
    </xf>
    <xf numFmtId="0" fontId="28" fillId="0" borderId="0" xfId="0" applyFont="1" applyAlignment="1">
      <alignment horizontal="center"/>
    </xf>
    <xf numFmtId="0" fontId="31" fillId="0" borderId="0" xfId="0" applyFont="1" applyAlignment="1">
      <alignment horizontal="right" vertical="center"/>
    </xf>
    <xf numFmtId="0" fontId="31" fillId="0" borderId="0" xfId="0" applyFont="1"/>
    <xf numFmtId="0" fontId="31" fillId="4" borderId="0" xfId="0" applyFont="1" applyFill="1"/>
    <xf numFmtId="0" fontId="37" fillId="4" borderId="0" xfId="0" applyNumberFormat="1" applyFont="1" applyFill="1" applyAlignment="1">
      <alignment horizontal="right"/>
    </xf>
    <xf numFmtId="14" fontId="37" fillId="0" borderId="0" xfId="0" applyNumberFormat="1" applyFont="1" applyFill="1" applyAlignment="1">
      <alignment horizontal="right"/>
    </xf>
    <xf numFmtId="0" fontId="36" fillId="0" borderId="0" xfId="0" applyNumberFormat="1" applyFont="1" applyFill="1" applyAlignment="1">
      <alignment horizontal="left"/>
    </xf>
    <xf numFmtId="14" fontId="36" fillId="0" borderId="0" xfId="0" applyNumberFormat="1" applyFont="1" applyFill="1" applyAlignment="1">
      <alignment horizontal="left"/>
    </xf>
    <xf numFmtId="43" fontId="36" fillId="0" borderId="0" xfId="3" applyFont="1" applyFill="1" applyAlignment="1">
      <alignment horizontal="right"/>
    </xf>
    <xf numFmtId="0" fontId="39" fillId="0" borderId="5" xfId="0" applyNumberFormat="1" applyFont="1" applyFill="1" applyBorder="1" applyAlignment="1">
      <alignment horizontal="left"/>
    </xf>
    <xf numFmtId="14" fontId="36" fillId="0" borderId="5" xfId="0" applyNumberFormat="1" applyFont="1" applyFill="1" applyBorder="1" applyAlignment="1">
      <alignment horizontal="left"/>
    </xf>
    <xf numFmtId="0" fontId="36" fillId="0" borderId="5" xfId="0" applyNumberFormat="1" applyFont="1" applyFill="1" applyBorder="1" applyAlignment="1">
      <alignment horizontal="left"/>
    </xf>
    <xf numFmtId="43" fontId="36" fillId="0" borderId="5" xfId="3" applyNumberFormat="1" applyFont="1" applyFill="1" applyBorder="1" applyAlignment="1">
      <alignment horizontal="right"/>
    </xf>
    <xf numFmtId="0" fontId="36" fillId="0" borderId="5" xfId="0" applyNumberFormat="1" applyFont="1" applyFill="1" applyBorder="1"/>
    <xf numFmtId="4" fontId="36" fillId="0" borderId="5" xfId="0" applyNumberFormat="1" applyFont="1" applyFill="1" applyBorder="1"/>
    <xf numFmtId="0" fontId="37" fillId="0" borderId="0" xfId="0" applyNumberFormat="1" applyFont="1" applyFill="1" applyAlignment="1">
      <alignment horizontal="right"/>
    </xf>
    <xf numFmtId="0" fontId="37" fillId="0" borderId="0" xfId="0" applyNumberFormat="1" applyFont="1" applyFill="1"/>
    <xf numFmtId="0" fontId="28" fillId="0" borderId="0" xfId="0" applyFont="1" applyFill="1"/>
    <xf numFmtId="0" fontId="30" fillId="0" borderId="0" xfId="0" applyNumberFormat="1" applyFont="1" applyFill="1" applyAlignment="1"/>
    <xf numFmtId="0" fontId="31" fillId="0" borderId="0" xfId="0" applyNumberFormat="1" applyFont="1" applyFill="1"/>
    <xf numFmtId="0" fontId="32" fillId="0" borderId="0" xfId="0" applyFont="1" applyFill="1" applyAlignment="1"/>
    <xf numFmtId="0" fontId="28" fillId="0" borderId="0" xfId="0" applyNumberFormat="1" applyFont="1" applyFill="1"/>
    <xf numFmtId="0" fontId="35" fillId="0" borderId="0" xfId="0" applyNumberFormat="1" applyFont="1" applyFill="1" applyAlignment="1">
      <alignment vertical="center"/>
    </xf>
    <xf numFmtId="0" fontId="31" fillId="0" borderId="0" xfId="0" applyFont="1" applyFill="1" applyAlignment="1">
      <alignment vertical="center"/>
    </xf>
    <xf numFmtId="0" fontId="28" fillId="0" borderId="0" xfId="0" applyFont="1" applyFill="1" applyAlignment="1">
      <alignment horizontal="center"/>
    </xf>
    <xf numFmtId="0" fontId="31" fillId="0" borderId="0" xfId="0" applyFont="1" applyFill="1" applyAlignment="1">
      <alignment horizontal="right" vertical="center"/>
    </xf>
    <xf numFmtId="0" fontId="36" fillId="0" borderId="0" xfId="0" applyFont="1" applyFill="1" applyAlignment="1">
      <alignment vertical="center"/>
    </xf>
    <xf numFmtId="164" fontId="36" fillId="0" borderId="0" xfId="0" applyNumberFormat="1" applyFont="1" applyFill="1" applyAlignment="1">
      <alignment vertical="center"/>
    </xf>
    <xf numFmtId="0" fontId="31" fillId="0" borderId="0" xfId="0" applyFont="1" applyFill="1"/>
    <xf numFmtId="0" fontId="36" fillId="0" borderId="5" xfId="0" applyFont="1" applyFill="1" applyBorder="1" applyAlignment="1">
      <alignment horizontal="left"/>
    </xf>
    <xf numFmtId="43" fontId="36" fillId="0" borderId="5" xfId="3" applyFont="1" applyFill="1" applyBorder="1" applyAlignment="1">
      <alignment horizontal="right"/>
    </xf>
    <xf numFmtId="43" fontId="31" fillId="0" borderId="0" xfId="0" applyNumberFormat="1" applyFont="1" applyFill="1"/>
    <xf numFmtId="4" fontId="31" fillId="0" borderId="0" xfId="0" applyNumberFormat="1" applyFont="1" applyFill="1"/>
    <xf numFmtId="0" fontId="30" fillId="0" borderId="0" xfId="0" applyFont="1" applyAlignment="1"/>
    <xf numFmtId="14" fontId="41" fillId="0" borderId="0" xfId="0" applyNumberFormat="1" applyFont="1"/>
    <xf numFmtId="0" fontId="34" fillId="0" borderId="0" xfId="0" applyFont="1" applyAlignment="1">
      <alignment vertical="center"/>
    </xf>
    <xf numFmtId="0" fontId="33" fillId="0" borderId="0" xfId="0" applyFont="1" applyAlignment="1">
      <alignment vertical="center"/>
    </xf>
    <xf numFmtId="0" fontId="35" fillId="0" borderId="0" xfId="0" applyFont="1" applyFill="1" applyBorder="1" applyAlignment="1">
      <alignment horizontal="left" vertical="center"/>
    </xf>
    <xf numFmtId="14" fontId="35" fillId="0" borderId="0" xfId="0" applyNumberFormat="1" applyFont="1" applyFill="1" applyBorder="1" applyAlignment="1">
      <alignment horizontal="left" vertical="center"/>
    </xf>
    <xf numFmtId="0" fontId="31" fillId="0" borderId="0" xfId="0" applyFont="1" applyFill="1" applyBorder="1" applyAlignment="1">
      <alignment horizontal="left" vertical="center"/>
    </xf>
    <xf numFmtId="0" fontId="35" fillId="0" borderId="0" xfId="0" applyFont="1" applyFill="1" applyBorder="1" applyAlignment="1">
      <alignment horizontal="right" vertical="center"/>
    </xf>
    <xf numFmtId="0" fontId="35" fillId="0" borderId="0" xfId="0" applyFont="1" applyAlignment="1">
      <alignment vertical="center"/>
    </xf>
    <xf numFmtId="14" fontId="42" fillId="0" borderId="0" xfId="0" applyNumberFormat="1" applyFont="1" applyAlignment="1">
      <alignment vertical="center"/>
    </xf>
    <xf numFmtId="0" fontId="40" fillId="0" borderId="0" xfId="0" applyFont="1" applyFill="1" applyBorder="1" applyAlignment="1">
      <alignment horizontal="left"/>
    </xf>
    <xf numFmtId="14" fontId="40" fillId="0" borderId="0" xfId="0" applyNumberFormat="1" applyFont="1" applyFill="1" applyBorder="1" applyAlignment="1">
      <alignment horizontal="left"/>
    </xf>
    <xf numFmtId="164" fontId="40" fillId="0" borderId="0" xfId="0" applyNumberFormat="1" applyFont="1" applyFill="1" applyBorder="1" applyAlignment="1">
      <alignment horizontal="right"/>
    </xf>
    <xf numFmtId="164" fontId="31" fillId="0" borderId="0" xfId="0" applyNumberFormat="1" applyFont="1" applyAlignment="1">
      <alignment horizontal="right"/>
    </xf>
    <xf numFmtId="14" fontId="41" fillId="0" borderId="0" xfId="0" applyNumberFormat="1" applyFont="1" applyAlignment="1">
      <alignment horizontal="right"/>
    </xf>
    <xf numFmtId="0" fontId="31" fillId="0" borderId="0" xfId="0" applyFont="1" applyFill="1" applyBorder="1" applyAlignment="1">
      <alignment horizontal="left"/>
    </xf>
    <xf numFmtId="14" fontId="31" fillId="0" borderId="0" xfId="0" applyNumberFormat="1" applyFont="1" applyFill="1" applyBorder="1" applyAlignment="1">
      <alignment horizontal="left"/>
    </xf>
    <xf numFmtId="164" fontId="31" fillId="0" borderId="0" xfId="0" applyNumberFormat="1" applyFont="1" applyFill="1" applyBorder="1" applyAlignment="1">
      <alignment horizontal="right"/>
    </xf>
    <xf numFmtId="0" fontId="31" fillId="0" borderId="0" xfId="0" applyFont="1" applyAlignment="1">
      <alignment horizontal="left"/>
    </xf>
    <xf numFmtId="14" fontId="31" fillId="0" borderId="0" xfId="0" applyNumberFormat="1" applyFont="1" applyAlignment="1">
      <alignment horizontal="left"/>
    </xf>
    <xf numFmtId="164" fontId="31" fillId="0" borderId="0" xfId="0" applyNumberFormat="1" applyFont="1" applyAlignment="1">
      <alignment vertical="center"/>
    </xf>
    <xf numFmtId="164" fontId="36" fillId="0" borderId="0" xfId="0" applyNumberFormat="1" applyFont="1" applyAlignment="1">
      <alignment horizontal="right"/>
    </xf>
    <xf numFmtId="164" fontId="31" fillId="0" borderId="0" xfId="0" applyNumberFormat="1" applyFont="1"/>
    <xf numFmtId="14" fontId="41" fillId="4" borderId="0" xfId="0" applyNumberFormat="1" applyFont="1" applyFill="1" applyAlignment="1">
      <alignment horizontal="right"/>
    </xf>
    <xf numFmtId="0" fontId="36" fillId="0" borderId="0" xfId="0" applyNumberFormat="1" applyFont="1" applyAlignment="1">
      <alignment horizontal="center"/>
    </xf>
    <xf numFmtId="0" fontId="38" fillId="0" borderId="0" xfId="3" applyNumberFormat="1" applyFont="1"/>
    <xf numFmtId="0" fontId="31" fillId="0" borderId="0" xfId="0" applyFont="1" applyFill="1" applyBorder="1" applyAlignment="1">
      <alignment horizontal="right"/>
    </xf>
    <xf numFmtId="14" fontId="41" fillId="0" borderId="0" xfId="0" applyNumberFormat="1" applyFont="1" applyFill="1" applyBorder="1" applyAlignment="1">
      <alignment horizontal="right"/>
    </xf>
    <xf numFmtId="0" fontId="31" fillId="4" borderId="0" xfId="0" applyFont="1" applyFill="1" applyAlignment="1">
      <alignment horizontal="left"/>
    </xf>
    <xf numFmtId="14" fontId="31" fillId="4" borderId="0" xfId="0" applyNumberFormat="1" applyFont="1" applyFill="1" applyAlignment="1">
      <alignment horizontal="left"/>
    </xf>
    <xf numFmtId="164" fontId="31" fillId="4" borderId="0" xfId="0" applyNumberFormat="1" applyFont="1" applyFill="1" applyAlignment="1">
      <alignment horizontal="right"/>
    </xf>
    <xf numFmtId="0" fontId="21" fillId="0" borderId="0" xfId="0" applyNumberFormat="1" applyFont="1" applyFill="1" applyAlignment="1"/>
    <xf numFmtId="0" fontId="0" fillId="0" borderId="0" xfId="0" applyNumberFormat="1" applyFont="1" applyFill="1"/>
    <xf numFmtId="43" fontId="3" fillId="0" borderId="0" xfId="3" applyFont="1" applyFill="1"/>
    <xf numFmtId="0" fontId="3" fillId="0" borderId="0" xfId="0" applyFont="1" applyFill="1"/>
    <xf numFmtId="0" fontId="22" fillId="0" borderId="0" xfId="0" applyFont="1" applyFill="1" applyAlignment="1"/>
    <xf numFmtId="0" fontId="3" fillId="0" borderId="0" xfId="0" applyNumberFormat="1" applyFont="1" applyFill="1"/>
    <xf numFmtId="0" fontId="9" fillId="0" borderId="0" xfId="0" applyNumberFormat="1" applyFont="1" applyFill="1" applyAlignment="1">
      <alignment vertical="center"/>
    </xf>
    <xf numFmtId="0" fontId="19" fillId="0" borderId="0" xfId="0" applyNumberFormat="1" applyFont="1" applyFill="1" applyAlignment="1">
      <alignment vertical="center"/>
    </xf>
    <xf numFmtId="0" fontId="9" fillId="0" borderId="0" xfId="3" applyNumberFormat="1" applyFont="1" applyFill="1" applyAlignment="1">
      <alignment vertical="center"/>
    </xf>
    <xf numFmtId="43" fontId="13" fillId="0" borderId="0" xfId="3" applyNumberFormat="1" applyFont="1" applyFill="1" applyAlignment="1">
      <alignment horizontal="right"/>
    </xf>
    <xf numFmtId="0" fontId="0" fillId="0" borderId="0" xfId="0" applyFont="1" applyFill="1" applyAlignment="1">
      <alignment vertical="center"/>
    </xf>
    <xf numFmtId="0" fontId="3" fillId="0" borderId="0" xfId="0" applyFont="1" applyFill="1" applyAlignment="1">
      <alignment horizontal="center"/>
    </xf>
    <xf numFmtId="0" fontId="0" fillId="0" borderId="0" xfId="0" applyFont="1" applyFill="1" applyAlignment="1">
      <alignment horizontal="right" vertical="center"/>
    </xf>
    <xf numFmtId="0" fontId="13" fillId="0" borderId="0" xfId="0" applyFont="1" applyFill="1" applyAlignment="1">
      <alignment vertical="center"/>
    </xf>
    <xf numFmtId="164" fontId="13" fillId="0" borderId="0" xfId="0" applyNumberFormat="1" applyFont="1" applyFill="1" applyAlignment="1">
      <alignment vertical="center"/>
    </xf>
    <xf numFmtId="0" fontId="24" fillId="0" borderId="0" xfId="0" applyNumberFormat="1" applyFont="1" applyFill="1" applyAlignment="1">
      <alignment horizontal="left"/>
    </xf>
    <xf numFmtId="0" fontId="5" fillId="0" borderId="0" xfId="0" applyFont="1" applyFill="1"/>
    <xf numFmtId="14" fontId="24" fillId="0" borderId="0" xfId="0" applyNumberFormat="1" applyFont="1" applyFill="1" applyAlignment="1">
      <alignment horizontal="left"/>
    </xf>
    <xf numFmtId="43" fontId="24" fillId="0" borderId="0" xfId="3" applyFont="1" applyFill="1" applyAlignment="1">
      <alignment horizontal="right"/>
    </xf>
    <xf numFmtId="0" fontId="24" fillId="0" borderId="0" xfId="0" applyNumberFormat="1" applyFont="1" applyFill="1" applyAlignment="1">
      <alignment horizontal="center"/>
    </xf>
    <xf numFmtId="0" fontId="25" fillId="0" borderId="0" xfId="3" applyNumberFormat="1" applyFont="1" applyFill="1"/>
    <xf numFmtId="43" fontId="0" fillId="0" borderId="0" xfId="0" applyNumberFormat="1" applyFont="1" applyFill="1"/>
    <xf numFmtId="43" fontId="0" fillId="0" borderId="0" xfId="3" applyFont="1" applyFill="1"/>
    <xf numFmtId="0" fontId="13" fillId="5" borderId="0" xfId="0" applyNumberFormat="1" applyFont="1" applyFill="1" applyBorder="1" applyAlignment="1">
      <alignment horizontal="left"/>
    </xf>
    <xf numFmtId="14" fontId="13" fillId="5" borderId="0" xfId="0" applyNumberFormat="1" applyFont="1" applyFill="1" applyBorder="1" applyAlignment="1">
      <alignment horizontal="left"/>
    </xf>
    <xf numFmtId="43" fontId="13" fillId="5" borderId="0" xfId="3" applyFont="1" applyFill="1" applyAlignment="1">
      <alignment horizontal="right"/>
    </xf>
    <xf numFmtId="0" fontId="13" fillId="5" borderId="0" xfId="0" applyNumberFormat="1" applyFont="1" applyFill="1" applyAlignment="1">
      <alignment horizontal="center"/>
    </xf>
    <xf numFmtId="0" fontId="13" fillId="5" borderId="0" xfId="0" applyNumberFormat="1" applyFont="1" applyFill="1" applyAlignment="1">
      <alignment horizontal="left"/>
    </xf>
    <xf numFmtId="14" fontId="27" fillId="5" borderId="0" xfId="0" applyNumberFormat="1" applyFont="1" applyFill="1" applyAlignment="1">
      <alignment horizontal="right"/>
    </xf>
    <xf numFmtId="0" fontId="26" fillId="5" borderId="0" xfId="3" applyNumberFormat="1" applyFont="1" applyFill="1"/>
    <xf numFmtId="14" fontId="13" fillId="5" borderId="0" xfId="0" applyNumberFormat="1" applyFont="1" applyFill="1" applyAlignment="1">
      <alignment horizontal="left"/>
    </xf>
    <xf numFmtId="0" fontId="24" fillId="5" borderId="0" xfId="0" applyNumberFormat="1" applyFont="1" applyFill="1" applyAlignment="1">
      <alignment horizontal="left"/>
    </xf>
    <xf numFmtId="14" fontId="24" fillId="5" borderId="0" xfId="0" applyNumberFormat="1" applyFont="1" applyFill="1" applyAlignment="1">
      <alignment horizontal="left"/>
    </xf>
    <xf numFmtId="43" fontId="24" fillId="5" borderId="0" xfId="3" applyFont="1" applyFill="1" applyAlignment="1">
      <alignment horizontal="right"/>
    </xf>
    <xf numFmtId="0" fontId="24" fillId="5" borderId="0" xfId="0" applyNumberFormat="1" applyFont="1" applyFill="1" applyAlignment="1">
      <alignment horizontal="center"/>
    </xf>
    <xf numFmtId="0" fontId="26" fillId="5" borderId="0" xfId="0" applyNumberFormat="1" applyFont="1" applyFill="1"/>
    <xf numFmtId="0" fontId="39" fillId="0" borderId="0" xfId="0" applyNumberFormat="1" applyFont="1" applyFill="1" applyBorder="1" applyAlignment="1">
      <alignment horizontal="left"/>
    </xf>
    <xf numFmtId="43" fontId="36" fillId="0" borderId="0" xfId="3" applyNumberFormat="1" applyFont="1" applyFill="1" applyAlignment="1">
      <alignment horizontal="right"/>
    </xf>
    <xf numFmtId="0" fontId="35" fillId="0" borderId="0" xfId="0" applyNumberFormat="1" applyFont="1" applyFill="1" applyBorder="1" applyAlignment="1">
      <alignment vertical="center"/>
    </xf>
    <xf numFmtId="0" fontId="31" fillId="0" borderId="0" xfId="0" applyNumberFormat="1" applyFont="1" applyFill="1" applyBorder="1" applyAlignment="1">
      <alignment vertical="center"/>
    </xf>
    <xf numFmtId="164" fontId="43" fillId="0" borderId="0" xfId="0" applyNumberFormat="1" applyFont="1" applyFill="1" applyAlignment="1">
      <alignment vertical="center"/>
    </xf>
    <xf numFmtId="14" fontId="37" fillId="0" borderId="0" xfId="0" applyNumberFormat="1" applyFont="1" applyFill="1"/>
    <xf numFmtId="0" fontId="33" fillId="0" borderId="0" xfId="0" applyFont="1" applyFill="1" applyAlignment="1">
      <alignment vertical="center"/>
    </xf>
    <xf numFmtId="0" fontId="33" fillId="0" borderId="0" xfId="0" applyFont="1" applyFill="1"/>
    <xf numFmtId="0" fontId="33" fillId="0" borderId="0" xfId="0" applyFont="1" applyFill="1" applyAlignment="1"/>
    <xf numFmtId="0" fontId="33" fillId="0" borderId="0" xfId="0" applyNumberFormat="1" applyFont="1" applyFill="1" applyAlignment="1"/>
    <xf numFmtId="0" fontId="33" fillId="0" borderId="0" xfId="0" applyNumberFormat="1" applyFont="1" applyFill="1"/>
    <xf numFmtId="14" fontId="35" fillId="0" borderId="0" xfId="0" applyNumberFormat="1" applyFont="1" applyFill="1" applyAlignment="1"/>
    <xf numFmtId="164" fontId="31" fillId="0" borderId="0" xfId="0" applyNumberFormat="1" applyFont="1" applyFill="1"/>
    <xf numFmtId="166" fontId="33" fillId="0" borderId="0" xfId="0" applyNumberFormat="1" applyFont="1" applyFill="1"/>
    <xf numFmtId="166" fontId="31" fillId="0" borderId="0" xfId="0" applyNumberFormat="1" applyFont="1" applyFill="1"/>
    <xf numFmtId="166" fontId="28" fillId="0" borderId="0" xfId="0" applyNumberFormat="1" applyFont="1" applyFill="1"/>
    <xf numFmtId="0" fontId="28" fillId="0" borderId="0" xfId="0" applyFont="1" applyFill="1" applyAlignment="1">
      <alignment horizontal="center"/>
    </xf>
    <xf numFmtId="0" fontId="46" fillId="0" borderId="0" xfId="0" applyFont="1" applyFill="1"/>
    <xf numFmtId="0" fontId="46" fillId="0" borderId="0" xfId="0" applyFont="1" applyFill="1" applyAlignment="1"/>
    <xf numFmtId="14" fontId="46" fillId="0" borderId="0" xfId="0" applyNumberFormat="1" applyFont="1" applyFill="1" applyAlignment="1"/>
    <xf numFmtId="0" fontId="46" fillId="0" borderId="0" xfId="0" applyFont="1" applyFill="1" applyAlignment="1">
      <alignment horizontal="right"/>
    </xf>
    <xf numFmtId="164" fontId="0" fillId="0" borderId="0" xfId="0" applyNumberFormat="1" applyFont="1" applyFill="1"/>
    <xf numFmtId="43" fontId="33" fillId="0" borderId="0" xfId="3" applyFont="1" applyFill="1" applyAlignment="1"/>
    <xf numFmtId="43" fontId="31" fillId="0" borderId="0" xfId="3" applyFont="1" applyFill="1"/>
    <xf numFmtId="43" fontId="28" fillId="0" borderId="0" xfId="3" applyFont="1" applyFill="1"/>
    <xf numFmtId="43" fontId="31" fillId="0" borderId="6" xfId="3" applyFont="1" applyFill="1" applyBorder="1" applyAlignment="1">
      <alignment horizontal="center" vertical="center" wrapText="1"/>
    </xf>
    <xf numFmtId="0" fontId="31" fillId="0" borderId="6" xfId="0" applyNumberFormat="1" applyFont="1" applyFill="1" applyBorder="1" applyAlignment="1">
      <alignment horizontal="center" vertical="center" wrapText="1"/>
    </xf>
    <xf numFmtId="14" fontId="28" fillId="0" borderId="0" xfId="3" applyNumberFormat="1" applyFont="1" applyFill="1" applyAlignment="1"/>
    <xf numFmtId="164" fontId="36" fillId="0" borderId="7" xfId="0" applyNumberFormat="1" applyFont="1" applyFill="1" applyBorder="1" applyAlignment="1">
      <alignment vertical="center"/>
    </xf>
    <xf numFmtId="0" fontId="54" fillId="0" borderId="0" xfId="0" applyFont="1" applyFill="1"/>
    <xf numFmtId="43" fontId="54" fillId="0" borderId="0" xfId="0" applyNumberFormat="1" applyFont="1" applyFill="1"/>
    <xf numFmtId="0" fontId="31" fillId="0" borderId="0" xfId="0" applyFont="1" applyFill="1" applyBorder="1"/>
    <xf numFmtId="164" fontId="31" fillId="0" borderId="0" xfId="0" applyNumberFormat="1" applyFont="1" applyFill="1" applyBorder="1"/>
    <xf numFmtId="0" fontId="46" fillId="0" borderId="13" xfId="0" applyFont="1" applyFill="1" applyBorder="1"/>
    <xf numFmtId="0" fontId="46" fillId="0" borderId="14" xfId="0" applyFont="1" applyFill="1" applyBorder="1" applyAlignment="1"/>
    <xf numFmtId="0" fontId="46" fillId="0" borderId="14" xfId="0" applyFont="1" applyFill="1" applyBorder="1" applyAlignment="1">
      <alignment horizontal="right"/>
    </xf>
    <xf numFmtId="14" fontId="46" fillId="0" borderId="15" xfId="0" applyNumberFormat="1" applyFont="1" applyFill="1" applyBorder="1" applyAlignment="1"/>
    <xf numFmtId="0" fontId="33" fillId="0" borderId="9" xfId="0" applyFont="1" applyFill="1" applyBorder="1" applyAlignment="1">
      <alignment vertical="center"/>
    </xf>
    <xf numFmtId="0" fontId="33" fillId="0" borderId="0" xfId="0" applyFont="1" applyFill="1" applyBorder="1" applyAlignment="1">
      <alignment vertical="center"/>
    </xf>
    <xf numFmtId="0" fontId="32" fillId="0" borderId="0" xfId="0" applyFont="1" applyFill="1" applyBorder="1" applyAlignment="1"/>
    <xf numFmtId="14" fontId="35" fillId="0" borderId="10" xfId="0" applyNumberFormat="1" applyFont="1" applyFill="1" applyBorder="1" applyAlignment="1"/>
    <xf numFmtId="0" fontId="32" fillId="0" borderId="9" xfId="0" applyFont="1" applyFill="1" applyBorder="1" applyAlignment="1"/>
    <xf numFmtId="0" fontId="32" fillId="0" borderId="10" xfId="0" applyFont="1" applyFill="1" applyBorder="1" applyAlignment="1"/>
    <xf numFmtId="0" fontId="31" fillId="0" borderId="9" xfId="0" applyFont="1" applyFill="1" applyBorder="1" applyAlignment="1">
      <alignment vertical="center"/>
    </xf>
    <xf numFmtId="0" fontId="31" fillId="0" borderId="0" xfId="0" applyFont="1" applyFill="1" applyBorder="1" applyAlignment="1">
      <alignment horizontal="right" vertical="center"/>
    </xf>
    <xf numFmtId="0" fontId="31" fillId="0" borderId="10" xfId="0" applyFont="1" applyFill="1" applyBorder="1" applyAlignment="1">
      <alignment horizontal="right" vertical="center"/>
    </xf>
    <xf numFmtId="0" fontId="36" fillId="0" borderId="9" xfId="0" applyFont="1" applyFill="1" applyBorder="1" applyAlignment="1">
      <alignment vertical="center"/>
    </xf>
    <xf numFmtId="164" fontId="36" fillId="0" borderId="0" xfId="0" applyNumberFormat="1" applyFont="1" applyFill="1" applyBorder="1" applyAlignment="1">
      <alignment vertical="center"/>
    </xf>
    <xf numFmtId="164" fontId="36" fillId="0" borderId="10" xfId="0" applyNumberFormat="1" applyFont="1" applyFill="1" applyBorder="1" applyAlignment="1">
      <alignment vertical="center"/>
    </xf>
    <xf numFmtId="0" fontId="43" fillId="0" borderId="9" xfId="0" applyFont="1" applyFill="1" applyBorder="1" applyAlignment="1">
      <alignment vertical="center"/>
    </xf>
    <xf numFmtId="164" fontId="43" fillId="0" borderId="0" xfId="0" applyNumberFormat="1" applyFont="1" applyFill="1" applyBorder="1" applyAlignment="1">
      <alignment vertical="center"/>
    </xf>
    <xf numFmtId="164" fontId="43" fillId="0" borderId="10" xfId="0" applyNumberFormat="1" applyFont="1" applyFill="1" applyBorder="1" applyAlignment="1">
      <alignment vertical="center"/>
    </xf>
    <xf numFmtId="164" fontId="36" fillId="0" borderId="8" xfId="0" applyNumberFormat="1" applyFont="1" applyFill="1" applyBorder="1" applyAlignment="1">
      <alignment vertical="center"/>
    </xf>
    <xf numFmtId="0" fontId="31" fillId="0" borderId="16" xfId="0" applyFont="1" applyFill="1" applyBorder="1"/>
    <xf numFmtId="0" fontId="31" fillId="0" borderId="17" xfId="0" applyFont="1" applyFill="1" applyBorder="1"/>
    <xf numFmtId="0" fontId="31" fillId="0" borderId="18" xfId="0" applyFont="1" applyFill="1" applyBorder="1"/>
    <xf numFmtId="0" fontId="9" fillId="0" borderId="6" xfId="0" applyFont="1" applyBorder="1"/>
    <xf numFmtId="43" fontId="9" fillId="0" borderId="6" xfId="3" applyNumberFormat="1" applyFont="1" applyBorder="1"/>
    <xf numFmtId="43" fontId="9" fillId="0" borderId="11" xfId="3" applyNumberFormat="1" applyFont="1" applyBorder="1"/>
    <xf numFmtId="0" fontId="28" fillId="0" borderId="0" xfId="0" applyFont="1" applyFill="1" applyAlignment="1">
      <alignment wrapText="1"/>
    </xf>
    <xf numFmtId="0" fontId="32" fillId="0" borderId="0" xfId="0" applyFont="1" applyFill="1" applyAlignment="1">
      <alignment wrapText="1"/>
    </xf>
    <xf numFmtId="166" fontId="31" fillId="0" borderId="6" xfId="0" applyNumberFormat="1" applyFont="1" applyFill="1" applyBorder="1" applyAlignment="1">
      <alignment horizontal="center" vertical="center" wrapText="1"/>
    </xf>
    <xf numFmtId="166" fontId="33" fillId="0" borderId="0" xfId="0" applyNumberFormat="1" applyFont="1" applyFill="1" applyAlignment="1"/>
    <xf numFmtId="166" fontId="36" fillId="0" borderId="0" xfId="0" applyNumberFormat="1" applyFont="1" applyFill="1" applyBorder="1" applyAlignment="1">
      <alignment horizontal="right"/>
    </xf>
    <xf numFmtId="166" fontId="36" fillId="0" borderId="5" xfId="0" applyNumberFormat="1" applyFont="1" applyFill="1" applyBorder="1" applyAlignment="1">
      <alignment horizontal="right"/>
    </xf>
    <xf numFmtId="166" fontId="47" fillId="0" borderId="5" xfId="0" applyNumberFormat="1" applyFont="1" applyFill="1" applyBorder="1" applyAlignment="1">
      <alignment horizontal="right"/>
    </xf>
    <xf numFmtId="166" fontId="50" fillId="0" borderId="5" xfId="0" applyNumberFormat="1" applyFont="1" applyFill="1" applyBorder="1" applyAlignment="1">
      <alignment horizontal="right"/>
    </xf>
    <xf numFmtId="166" fontId="47" fillId="0" borderId="0" xfId="0" applyNumberFormat="1" applyFont="1" applyFill="1" applyBorder="1" applyAlignment="1">
      <alignment horizontal="right"/>
    </xf>
    <xf numFmtId="166" fontId="52" fillId="0" borderId="0" xfId="0" applyNumberFormat="1" applyFont="1" applyFill="1" applyBorder="1" applyAlignment="1">
      <alignment horizontal="right"/>
    </xf>
    <xf numFmtId="166" fontId="50" fillId="0" borderId="0" xfId="0" applyNumberFormat="1" applyFont="1" applyFill="1" applyBorder="1" applyAlignment="1">
      <alignment horizontal="right"/>
    </xf>
    <xf numFmtId="0" fontId="36" fillId="0" borderId="0" xfId="0" applyNumberFormat="1" applyFont="1" applyFill="1" applyBorder="1" applyAlignment="1">
      <alignment horizontal="left" shrinkToFit="1"/>
    </xf>
    <xf numFmtId="0" fontId="36" fillId="0" borderId="5" xfId="0" applyNumberFormat="1" applyFont="1" applyFill="1" applyBorder="1" applyAlignment="1">
      <alignment horizontal="left" shrinkToFit="1"/>
    </xf>
    <xf numFmtId="0" fontId="36" fillId="0" borderId="5" xfId="0" applyNumberFormat="1" applyFont="1" applyFill="1" applyBorder="1" applyAlignment="1">
      <alignment shrinkToFit="1"/>
    </xf>
    <xf numFmtId="0" fontId="47" fillId="0" borderId="5" xfId="0" applyNumberFormat="1" applyFont="1" applyFill="1" applyBorder="1" applyAlignment="1">
      <alignment horizontal="left" shrinkToFit="1"/>
    </xf>
    <xf numFmtId="0" fontId="50" fillId="0" borderId="5" xfId="0" applyNumberFormat="1" applyFont="1" applyFill="1" applyBorder="1" applyAlignment="1">
      <alignment horizontal="left" shrinkToFit="1"/>
    </xf>
    <xf numFmtId="0" fontId="47" fillId="0" borderId="0" xfId="0" applyNumberFormat="1" applyFont="1" applyFill="1" applyBorder="1" applyAlignment="1">
      <alignment horizontal="left" shrinkToFit="1"/>
    </xf>
    <xf numFmtId="0" fontId="52" fillId="0" borderId="0" xfId="0" applyNumberFormat="1" applyFont="1" applyFill="1" applyBorder="1" applyAlignment="1">
      <alignment horizontal="left" shrinkToFit="1"/>
    </xf>
    <xf numFmtId="0" fontId="50" fillId="0" borderId="0" xfId="0" applyNumberFormat="1" applyFont="1" applyFill="1" applyBorder="1" applyAlignment="1">
      <alignment horizontal="left" shrinkToFit="1"/>
    </xf>
    <xf numFmtId="43" fontId="31" fillId="0" borderId="0" xfId="3" applyFont="1" applyFill="1" applyAlignment="1">
      <alignment shrinkToFit="1"/>
    </xf>
    <xf numFmtId="43" fontId="28" fillId="0" borderId="0" xfId="3" applyFont="1" applyFill="1" applyAlignment="1">
      <alignment shrinkToFit="1"/>
    </xf>
    <xf numFmtId="0" fontId="36" fillId="0" borderId="19" xfId="0" applyNumberFormat="1" applyFont="1" applyFill="1" applyBorder="1" applyAlignment="1">
      <alignment horizontal="left" shrinkToFit="1"/>
    </xf>
    <xf numFmtId="43" fontId="36" fillId="0" borderId="0" xfId="3" applyFont="1" applyFill="1" applyBorder="1" applyAlignment="1">
      <alignment horizontal="right" shrinkToFit="1"/>
    </xf>
    <xf numFmtId="43" fontId="36" fillId="0" borderId="0" xfId="3" applyFont="1" applyFill="1" applyAlignment="1">
      <alignment horizontal="right" shrinkToFit="1"/>
    </xf>
    <xf numFmtId="166" fontId="37" fillId="0" borderId="0" xfId="0" applyNumberFormat="1" applyFont="1" applyFill="1" applyAlignment="1">
      <alignment horizontal="right" shrinkToFit="1"/>
    </xf>
    <xf numFmtId="43" fontId="37" fillId="0" borderId="0" xfId="3" applyFont="1" applyFill="1" applyAlignment="1">
      <alignment horizontal="right" shrinkToFit="1"/>
    </xf>
    <xf numFmtId="0" fontId="45" fillId="0" borderId="0" xfId="0" applyNumberFormat="1" applyFont="1" applyFill="1" applyAlignment="1">
      <alignment shrinkToFit="1"/>
    </xf>
    <xf numFmtId="43" fontId="36" fillId="0" borderId="5" xfId="3" applyFont="1" applyFill="1" applyBorder="1" applyAlignment="1">
      <alignment horizontal="right" shrinkToFit="1"/>
    </xf>
    <xf numFmtId="43" fontId="36" fillId="0" borderId="5" xfId="3" applyFont="1" applyFill="1" applyBorder="1" applyAlignment="1">
      <alignment shrinkToFit="1"/>
    </xf>
    <xf numFmtId="0" fontId="44" fillId="0" borderId="0" xfId="0" applyNumberFormat="1" applyFont="1" applyFill="1" applyAlignment="1">
      <alignment shrinkToFit="1"/>
    </xf>
    <xf numFmtId="14" fontId="44" fillId="0" borderId="0" xfId="0" applyNumberFormat="1" applyFont="1" applyFill="1" applyAlignment="1">
      <alignment shrinkToFit="1"/>
    </xf>
    <xf numFmtId="43" fontId="47" fillId="0" borderId="5" xfId="3" applyFont="1" applyFill="1" applyBorder="1" applyAlignment="1">
      <alignment horizontal="right" shrinkToFit="1"/>
    </xf>
    <xf numFmtId="166" fontId="48" fillId="0" borderId="0" xfId="0" applyNumberFormat="1" applyFont="1" applyFill="1" applyAlignment="1">
      <alignment horizontal="right" shrinkToFit="1"/>
    </xf>
    <xf numFmtId="0" fontId="48" fillId="0" borderId="0" xfId="0" applyNumberFormat="1" applyFont="1" applyFill="1" applyAlignment="1">
      <alignment shrinkToFit="1"/>
    </xf>
    <xf numFmtId="14" fontId="37" fillId="0" borderId="0" xfId="0" applyNumberFormat="1" applyFont="1" applyFill="1" applyAlignment="1">
      <alignment shrinkToFit="1"/>
    </xf>
    <xf numFmtId="4" fontId="44" fillId="0" borderId="0" xfId="0" applyNumberFormat="1" applyFont="1" applyFill="1" applyAlignment="1">
      <alignment shrinkToFit="1"/>
    </xf>
    <xf numFmtId="0" fontId="37" fillId="0" borderId="0" xfId="0" applyNumberFormat="1" applyFont="1" applyFill="1" applyAlignment="1">
      <alignment shrinkToFit="1"/>
    </xf>
    <xf numFmtId="43" fontId="50" fillId="0" borderId="5" xfId="3" applyFont="1" applyFill="1" applyBorder="1" applyAlignment="1">
      <alignment horizontal="right" shrinkToFit="1"/>
    </xf>
    <xf numFmtId="166" fontId="51" fillId="0" borderId="0" xfId="0" applyNumberFormat="1" applyFont="1" applyFill="1" applyAlignment="1">
      <alignment horizontal="right" shrinkToFit="1"/>
    </xf>
    <xf numFmtId="14" fontId="51" fillId="0" borderId="0" xfId="0" applyNumberFormat="1" applyFont="1" applyFill="1" applyAlignment="1">
      <alignment shrinkToFit="1"/>
    </xf>
    <xf numFmtId="43" fontId="47" fillId="0" borderId="0" xfId="3" applyFont="1" applyFill="1" applyBorder="1" applyAlignment="1">
      <alignment horizontal="right" shrinkToFit="1"/>
    </xf>
    <xf numFmtId="0" fontId="52" fillId="0" borderId="5" xfId="0" applyNumberFormat="1" applyFont="1" applyFill="1" applyBorder="1" applyAlignment="1">
      <alignment horizontal="left" shrinkToFit="1"/>
    </xf>
    <xf numFmtId="43" fontId="52" fillId="0" borderId="0" xfId="3" applyFont="1" applyFill="1" applyBorder="1" applyAlignment="1">
      <alignment horizontal="right" shrinkToFit="1"/>
    </xf>
    <xf numFmtId="166" fontId="53" fillId="0" borderId="0" xfId="0" applyNumberFormat="1" applyFont="1" applyFill="1" applyAlignment="1">
      <alignment horizontal="right" shrinkToFit="1"/>
    </xf>
    <xf numFmtId="0" fontId="53" fillId="0" borderId="0" xfId="0" applyNumberFormat="1" applyFont="1" applyFill="1" applyAlignment="1">
      <alignment shrinkToFit="1"/>
    </xf>
    <xf numFmtId="43" fontId="49" fillId="0" borderId="0" xfId="3" applyFont="1" applyAlignment="1">
      <alignment shrinkToFit="1"/>
    </xf>
    <xf numFmtId="43" fontId="50" fillId="0" borderId="0" xfId="3" applyFont="1" applyFill="1" applyBorder="1" applyAlignment="1">
      <alignment horizontal="right" shrinkToFit="1"/>
    </xf>
    <xf numFmtId="0" fontId="51" fillId="0" borderId="0" xfId="0" applyNumberFormat="1" applyFont="1" applyFill="1" applyAlignment="1">
      <alignment shrinkToFit="1"/>
    </xf>
    <xf numFmtId="43" fontId="36" fillId="0" borderId="0" xfId="0" applyNumberFormat="1" applyFont="1" applyFill="1" applyBorder="1" applyAlignment="1">
      <alignment horizontal="right" shrinkToFit="1"/>
    </xf>
    <xf numFmtId="166" fontId="37" fillId="0" borderId="0" xfId="0" applyNumberFormat="1" applyFont="1" applyFill="1" applyAlignment="1">
      <alignment shrinkToFit="1"/>
    </xf>
    <xf numFmtId="49" fontId="36" fillId="0" borderId="0" xfId="0" applyNumberFormat="1" applyFont="1" applyFill="1" applyBorder="1" applyAlignment="1">
      <alignment horizontal="center" shrinkToFit="1"/>
    </xf>
    <xf numFmtId="49" fontId="36" fillId="0" borderId="5" xfId="0" applyNumberFormat="1" applyFont="1" applyFill="1" applyBorder="1" applyAlignment="1">
      <alignment horizontal="center" shrinkToFit="1"/>
    </xf>
    <xf numFmtId="49" fontId="47" fillId="0" borderId="5" xfId="0" applyNumberFormat="1" applyFont="1" applyFill="1" applyBorder="1" applyAlignment="1">
      <alignment horizontal="center" shrinkToFit="1"/>
    </xf>
    <xf numFmtId="49" fontId="50" fillId="0" borderId="5" xfId="0" applyNumberFormat="1" applyFont="1" applyFill="1" applyBorder="1" applyAlignment="1">
      <alignment horizontal="center" shrinkToFit="1"/>
    </xf>
    <xf numFmtId="49" fontId="47" fillId="0" borderId="0" xfId="0" applyNumberFormat="1" applyFont="1" applyFill="1" applyBorder="1" applyAlignment="1">
      <alignment horizontal="center" shrinkToFit="1"/>
    </xf>
    <xf numFmtId="49" fontId="52" fillId="0" borderId="0" xfId="0" applyNumberFormat="1" applyFont="1" applyFill="1" applyBorder="1" applyAlignment="1">
      <alignment horizontal="center" shrinkToFit="1"/>
    </xf>
    <xf numFmtId="49" fontId="36" fillId="4" borderId="0" xfId="0" applyNumberFormat="1" applyFont="1" applyFill="1" applyBorder="1" applyAlignment="1">
      <alignment horizontal="center" shrinkToFit="1"/>
    </xf>
    <xf numFmtId="49" fontId="50" fillId="0" borderId="0" xfId="0" applyNumberFormat="1" applyFont="1" applyFill="1" applyBorder="1" applyAlignment="1">
      <alignment horizontal="center" shrinkToFit="1"/>
    </xf>
    <xf numFmtId="0" fontId="36" fillId="0" borderId="0" xfId="0" applyNumberFormat="1" applyFont="1" applyFill="1" applyBorder="1" applyAlignment="1">
      <alignment horizontal="center" shrinkToFit="1"/>
    </xf>
    <xf numFmtId="0" fontId="37" fillId="0" borderId="0" xfId="0" applyNumberFormat="1" applyFont="1" applyFill="1" applyBorder="1" applyAlignment="1">
      <alignment horizontal="center" shrinkToFit="1"/>
    </xf>
    <xf numFmtId="0" fontId="29" fillId="0" borderId="0" xfId="0" applyFont="1" applyFill="1" applyAlignment="1">
      <alignment horizontal="left" indent="8"/>
    </xf>
    <xf numFmtId="0" fontId="30" fillId="0" borderId="0" xfId="0" applyFont="1" applyFill="1" applyAlignment="1">
      <alignment horizontal="left" indent="8"/>
    </xf>
    <xf numFmtId="14" fontId="31" fillId="0" borderId="0" xfId="0" applyNumberFormat="1" applyFont="1" applyFill="1" applyAlignment="1">
      <alignment vertical="center"/>
    </xf>
    <xf numFmtId="0" fontId="20" fillId="0" borderId="0" xfId="0" applyFont="1" applyFill="1" applyAlignment="1"/>
    <xf numFmtId="0" fontId="21" fillId="0" borderId="0" xfId="0" applyFont="1" applyFill="1" applyAlignment="1"/>
    <xf numFmtId="0" fontId="23" fillId="0" borderId="0" xfId="0" applyFont="1" applyFill="1" applyAlignment="1">
      <alignment vertical="center"/>
    </xf>
    <xf numFmtId="0" fontId="58" fillId="0" borderId="0" xfId="0" applyNumberFormat="1" applyFont="1" applyFill="1" applyBorder="1" applyAlignment="1">
      <alignment horizontal="left"/>
    </xf>
    <xf numFmtId="43" fontId="58" fillId="0" borderId="0" xfId="0" applyNumberFormat="1" applyFont="1" applyFill="1" applyBorder="1" applyAlignment="1">
      <alignment horizontal="right"/>
    </xf>
    <xf numFmtId="39" fontId="58" fillId="0" borderId="0" xfId="0" applyNumberFormat="1" applyFont="1" applyFill="1" applyBorder="1" applyAlignment="1">
      <alignment horizontal="right"/>
    </xf>
    <xf numFmtId="0" fontId="57" fillId="0" borderId="0" xfId="0" applyNumberFormat="1" applyFont="1" applyFill="1"/>
    <xf numFmtId="0" fontId="56" fillId="0" borderId="0" xfId="4" applyFill="1"/>
    <xf numFmtId="0" fontId="33" fillId="0" borderId="0" xfId="0" applyFont="1" applyFill="1" applyBorder="1" applyAlignment="1"/>
    <xf numFmtId="166" fontId="33" fillId="0" borderId="0" xfId="0" applyNumberFormat="1" applyFont="1" applyFill="1" applyBorder="1" applyAlignment="1"/>
    <xf numFmtId="0" fontId="33" fillId="0" borderId="0" xfId="0" applyNumberFormat="1" applyFont="1" applyFill="1" applyBorder="1" applyAlignment="1"/>
    <xf numFmtId="166" fontId="33" fillId="0" borderId="0" xfId="0" applyNumberFormat="1" applyFont="1" applyFill="1" applyBorder="1"/>
    <xf numFmtId="43" fontId="33" fillId="0" borderId="0" xfId="3" applyFont="1" applyFill="1" applyBorder="1"/>
    <xf numFmtId="0" fontId="31" fillId="0" borderId="0" xfId="0" applyNumberFormat="1" applyFont="1" applyFill="1" applyBorder="1" applyAlignment="1">
      <alignment horizontal="center" vertical="center"/>
    </xf>
    <xf numFmtId="166" fontId="31" fillId="0" borderId="0" xfId="0" applyNumberFormat="1" applyFont="1" applyFill="1" applyBorder="1" applyAlignment="1">
      <alignment horizontal="center" vertical="center"/>
    </xf>
    <xf numFmtId="0" fontId="31" fillId="0" borderId="0" xfId="0" applyNumberFormat="1" applyFont="1" applyFill="1" applyBorder="1" applyAlignment="1">
      <alignment horizontal="center" vertical="center" wrapText="1"/>
    </xf>
    <xf numFmtId="43" fontId="31" fillId="0" borderId="0" xfId="3" applyFont="1" applyFill="1" applyBorder="1" applyAlignment="1">
      <alignment horizontal="center" vertical="center" wrapText="1"/>
    </xf>
    <xf numFmtId="0" fontId="36" fillId="0" borderId="0" xfId="0" applyNumberFormat="1" applyFont="1" applyFill="1" applyBorder="1" applyAlignment="1">
      <alignment horizontal="left" vertical="center" shrinkToFit="1"/>
    </xf>
    <xf numFmtId="0" fontId="63" fillId="0" borderId="0" xfId="4" applyNumberFormat="1" applyFont="1" applyFill="1" applyBorder="1" applyAlignment="1">
      <alignment horizontal="left" vertical="center" shrinkToFit="1"/>
    </xf>
    <xf numFmtId="0" fontId="33" fillId="0" borderId="0" xfId="0" applyFont="1" applyFill="1" applyAlignment="1">
      <alignment horizontal="left" vertical="center"/>
    </xf>
    <xf numFmtId="0" fontId="33" fillId="0" borderId="0" xfId="0" applyFont="1" applyFill="1" applyBorder="1" applyAlignment="1">
      <alignment horizontal="left" vertical="center"/>
    </xf>
    <xf numFmtId="166" fontId="33" fillId="0" borderId="0" xfId="0" applyNumberFormat="1" applyFont="1" applyFill="1" applyBorder="1" applyAlignment="1">
      <alignment horizontal="left" vertical="center"/>
    </xf>
    <xf numFmtId="0" fontId="33" fillId="0" borderId="0" xfId="0" applyNumberFormat="1" applyFont="1" applyFill="1" applyBorder="1" applyAlignment="1">
      <alignment horizontal="left" vertical="center"/>
    </xf>
    <xf numFmtId="14" fontId="2" fillId="0" borderId="0" xfId="0" applyNumberFormat="1" applyFont="1" applyFill="1" applyBorder="1" applyAlignment="1">
      <alignment horizontal="left" vertical="center"/>
    </xf>
    <xf numFmtId="43" fontId="33" fillId="0" borderId="0" xfId="3" applyFont="1" applyFill="1" applyBorder="1" applyAlignment="1">
      <alignment horizontal="left" vertical="center"/>
    </xf>
    <xf numFmtId="0" fontId="2" fillId="0" borderId="0" xfId="0" applyFont="1" applyFill="1" applyAlignment="1">
      <alignment horizontal="left" vertical="center"/>
    </xf>
    <xf numFmtId="0" fontId="32" fillId="0" borderId="0" xfId="0" applyFont="1" applyFill="1" applyAlignment="1">
      <alignment horizontal="left" vertical="center"/>
    </xf>
    <xf numFmtId="0" fontId="31" fillId="0" borderId="0" xfId="0" applyNumberFormat="1" applyFont="1" applyFill="1" applyBorder="1" applyAlignment="1">
      <alignment horizontal="left" vertical="center"/>
    </xf>
    <xf numFmtId="166" fontId="31" fillId="0" borderId="0" xfId="0" applyNumberFormat="1" applyFont="1" applyFill="1" applyBorder="1" applyAlignment="1">
      <alignment horizontal="left" vertical="center"/>
    </xf>
    <xf numFmtId="0" fontId="31" fillId="0" borderId="0" xfId="0" applyNumberFormat="1" applyFont="1" applyFill="1" applyBorder="1" applyAlignment="1">
      <alignment horizontal="left" vertical="center" wrapText="1"/>
    </xf>
    <xf numFmtId="43" fontId="31" fillId="0" borderId="0" xfId="3" applyFont="1" applyFill="1" applyBorder="1" applyAlignment="1">
      <alignment horizontal="left" vertical="center" wrapText="1"/>
    </xf>
    <xf numFmtId="0" fontId="37" fillId="0" borderId="0" xfId="0" applyNumberFormat="1" applyFont="1" applyFill="1" applyBorder="1" applyAlignment="1">
      <alignment horizontal="left" vertical="center" shrinkToFit="1"/>
    </xf>
    <xf numFmtId="166" fontId="36" fillId="0" borderId="0" xfId="0" applyNumberFormat="1" applyFont="1" applyFill="1" applyBorder="1" applyAlignment="1">
      <alignment horizontal="left" vertical="center" shrinkToFit="1"/>
    </xf>
    <xf numFmtId="43" fontId="36" fillId="0" borderId="0" xfId="3" applyFont="1" applyFill="1" applyBorder="1" applyAlignment="1">
      <alignment horizontal="left" vertical="center" shrinkToFit="1"/>
    </xf>
    <xf numFmtId="166" fontId="37" fillId="0" borderId="0" xfId="0" applyNumberFormat="1" applyFont="1" applyFill="1" applyBorder="1" applyAlignment="1">
      <alignment horizontal="left" vertical="center" shrinkToFit="1"/>
    </xf>
    <xf numFmtId="43" fontId="37" fillId="0" borderId="0" xfId="3" applyFont="1" applyFill="1" applyBorder="1" applyAlignment="1">
      <alignment horizontal="left" vertical="center" shrinkToFit="1"/>
    </xf>
    <xf numFmtId="14" fontId="38" fillId="0" borderId="0" xfId="0" applyNumberFormat="1" applyFont="1" applyFill="1" applyBorder="1" applyAlignment="1">
      <alignment horizontal="left" vertical="center" shrinkToFit="1"/>
    </xf>
    <xf numFmtId="0" fontId="46" fillId="0" borderId="0" xfId="0" applyFont="1" applyFill="1" applyAlignment="1">
      <alignment horizontal="left" vertical="center"/>
    </xf>
    <xf numFmtId="14" fontId="46" fillId="0" borderId="0" xfId="0" applyNumberFormat="1" applyFont="1" applyFill="1" applyAlignment="1">
      <alignment horizontal="left" vertical="center"/>
    </xf>
    <xf numFmtId="14" fontId="35" fillId="0" borderId="0" xfId="0" applyNumberFormat="1" applyFont="1" applyFill="1" applyAlignment="1">
      <alignment horizontal="left" vertical="center"/>
    </xf>
    <xf numFmtId="0" fontId="31" fillId="0" borderId="0" xfId="0" applyFont="1" applyFill="1" applyAlignment="1">
      <alignment horizontal="left" vertical="center"/>
    </xf>
    <xf numFmtId="0" fontId="36" fillId="0" borderId="0" xfId="0" applyFont="1" applyFill="1" applyAlignment="1">
      <alignment horizontal="left" vertical="center"/>
    </xf>
    <xf numFmtId="164" fontId="36" fillId="0" borderId="0" xfId="0" applyNumberFormat="1" applyFont="1" applyFill="1" applyAlignment="1">
      <alignment horizontal="left" vertical="center"/>
    </xf>
    <xf numFmtId="14" fontId="37" fillId="0" borderId="0" xfId="0" applyNumberFormat="1" applyFont="1" applyFill="1" applyBorder="1" applyAlignment="1">
      <alignment horizontal="left" vertical="center" shrinkToFit="1"/>
    </xf>
    <xf numFmtId="0" fontId="36" fillId="0" borderId="0" xfId="0" applyFont="1" applyFill="1" applyBorder="1" applyAlignment="1">
      <alignment horizontal="left" vertical="center"/>
    </xf>
    <xf numFmtId="43" fontId="36" fillId="0" borderId="0" xfId="3" applyNumberFormat="1" applyFont="1" applyFill="1" applyBorder="1" applyAlignment="1">
      <alignment horizontal="left" vertical="center" shrinkToFit="1"/>
    </xf>
    <xf numFmtId="4" fontId="36" fillId="0" borderId="0" xfId="0" applyNumberFormat="1" applyFont="1" applyFill="1" applyBorder="1" applyAlignment="1">
      <alignment horizontal="left" vertical="center" shrinkToFit="1"/>
    </xf>
    <xf numFmtId="164" fontId="31" fillId="0" borderId="0" xfId="0" applyNumberFormat="1" applyFont="1" applyFill="1" applyAlignment="1">
      <alignment horizontal="left" vertical="center"/>
    </xf>
    <xf numFmtId="0" fontId="31" fillId="0" borderId="0" xfId="0" applyFont="1" applyAlignment="1">
      <alignment horizontal="left" vertical="center"/>
    </xf>
    <xf numFmtId="0" fontId="31" fillId="0" borderId="0" xfId="0" applyFont="1" applyBorder="1" applyAlignment="1">
      <alignment horizontal="left" vertical="center"/>
    </xf>
    <xf numFmtId="43" fontId="31" fillId="0" borderId="0" xfId="3" applyFont="1" applyBorder="1" applyAlignment="1">
      <alignment horizontal="left" vertical="center"/>
    </xf>
    <xf numFmtId="166" fontId="31" fillId="0" borderId="0" xfId="0" applyNumberFormat="1" applyFont="1" applyBorder="1" applyAlignment="1">
      <alignment horizontal="left" vertical="center"/>
    </xf>
    <xf numFmtId="14" fontId="31" fillId="0" borderId="0" xfId="0" applyNumberFormat="1" applyFont="1" applyBorder="1" applyAlignment="1">
      <alignment horizontal="left" vertical="center"/>
    </xf>
    <xf numFmtId="14" fontId="36" fillId="0" borderId="0" xfId="0" applyNumberFormat="1" applyFont="1" applyFill="1" applyBorder="1" applyAlignment="1">
      <alignment horizontal="left" vertical="center" shrinkToFit="1"/>
    </xf>
    <xf numFmtId="0" fontId="62" fillId="0" borderId="0" xfId="4" applyFont="1" applyFill="1" applyAlignment="1">
      <alignment horizontal="left" vertical="center"/>
    </xf>
    <xf numFmtId="166" fontId="63" fillId="0" borderId="0" xfId="4" applyNumberFormat="1" applyFont="1" applyFill="1" applyBorder="1" applyAlignment="1">
      <alignment horizontal="left" vertical="center" shrinkToFit="1"/>
    </xf>
    <xf numFmtId="43" fontId="63" fillId="0" borderId="0" xfId="4" applyNumberFormat="1" applyFont="1" applyFill="1" applyBorder="1" applyAlignment="1">
      <alignment horizontal="left" vertical="center" shrinkToFit="1"/>
    </xf>
    <xf numFmtId="14" fontId="63" fillId="0" borderId="0" xfId="4" applyNumberFormat="1" applyFont="1" applyFill="1" applyBorder="1" applyAlignment="1">
      <alignment horizontal="left" vertical="center" shrinkToFit="1"/>
    </xf>
    <xf numFmtId="0" fontId="31" fillId="4" borderId="0" xfId="0" applyFont="1" applyFill="1" applyAlignment="1">
      <alignment horizontal="left" vertical="center"/>
    </xf>
    <xf numFmtId="4" fontId="38" fillId="0" borderId="0" xfId="0" applyNumberFormat="1" applyFont="1" applyBorder="1" applyAlignment="1">
      <alignment horizontal="left" vertical="center"/>
    </xf>
    <xf numFmtId="0" fontId="38" fillId="0" borderId="0" xfId="0" applyFont="1" applyBorder="1" applyAlignment="1">
      <alignment horizontal="left" vertical="center"/>
    </xf>
    <xf numFmtId="43" fontId="31" fillId="0" borderId="0" xfId="0" applyNumberFormat="1" applyFont="1" applyFill="1" applyAlignment="1">
      <alignment horizontal="left" vertical="center"/>
    </xf>
    <xf numFmtId="44" fontId="31" fillId="0" borderId="0" xfId="2" applyFont="1" applyAlignment="1">
      <alignment horizontal="left" vertical="center"/>
    </xf>
    <xf numFmtId="0" fontId="37" fillId="0" borderId="0" xfId="0" applyNumberFormat="1" applyFont="1" applyFill="1" applyAlignment="1">
      <alignment horizontal="left" vertical="center" shrinkToFit="1"/>
    </xf>
    <xf numFmtId="0" fontId="31" fillId="0" borderId="0" xfId="0" applyNumberFormat="1" applyFont="1" applyFill="1" applyAlignment="1">
      <alignment horizontal="left" vertical="center"/>
    </xf>
    <xf numFmtId="166" fontId="31" fillId="0" borderId="0" xfId="0" applyNumberFormat="1" applyFont="1" applyFill="1" applyAlignment="1">
      <alignment horizontal="left" vertical="center"/>
    </xf>
    <xf numFmtId="43" fontId="31" fillId="0" borderId="0" xfId="3" applyFont="1" applyFill="1" applyAlignment="1">
      <alignment horizontal="left" vertical="center"/>
    </xf>
    <xf numFmtId="4" fontId="31" fillId="0" borderId="0" xfId="0" applyNumberFormat="1" applyFont="1" applyFill="1" applyAlignment="1">
      <alignment horizontal="left" vertical="center"/>
    </xf>
    <xf numFmtId="166" fontId="2" fillId="0" borderId="0" xfId="0" applyNumberFormat="1" applyFont="1" applyFill="1" applyAlignment="1">
      <alignment horizontal="left" vertical="center"/>
    </xf>
    <xf numFmtId="43" fontId="2" fillId="0" borderId="0" xfId="3" applyFont="1" applyFill="1" applyAlignment="1">
      <alignment horizontal="left" vertical="center"/>
    </xf>
    <xf numFmtId="0" fontId="2" fillId="0" borderId="0" xfId="0" applyNumberFormat="1" applyFont="1" applyFill="1" applyAlignment="1">
      <alignment horizontal="left" vertical="center"/>
    </xf>
    <xf numFmtId="0" fontId="61" fillId="0" borderId="0" xfId="0" applyFont="1" applyFill="1" applyAlignment="1">
      <alignment horizontal="left" vertical="center"/>
    </xf>
    <xf numFmtId="164" fontId="61" fillId="0" borderId="0" xfId="0" applyNumberFormat="1" applyFont="1" applyFill="1" applyAlignment="1">
      <alignment horizontal="left" vertical="center"/>
    </xf>
    <xf numFmtId="0" fontId="60" fillId="0" borderId="0" xfId="0" applyNumberFormat="1" applyFont="1" applyFill="1" applyBorder="1" applyAlignment="1">
      <alignment horizontal="left" vertical="center" shrinkToFit="1"/>
    </xf>
    <xf numFmtId="166" fontId="61" fillId="0" borderId="0" xfId="0" applyNumberFormat="1" applyFont="1" applyFill="1" applyBorder="1" applyAlignment="1">
      <alignment horizontal="left" vertical="center" shrinkToFit="1"/>
    </xf>
    <xf numFmtId="0" fontId="61" fillId="0" borderId="0" xfId="0" applyNumberFormat="1" applyFont="1" applyFill="1" applyBorder="1" applyAlignment="1">
      <alignment horizontal="left" vertical="center" shrinkToFit="1"/>
    </xf>
    <xf numFmtId="43" fontId="61" fillId="0" borderId="0" xfId="0" applyNumberFormat="1" applyFont="1" applyFill="1" applyBorder="1" applyAlignment="1">
      <alignment horizontal="left" vertical="center" shrinkToFit="1"/>
    </xf>
    <xf numFmtId="39" fontId="61" fillId="0" borderId="0" xfId="0" applyNumberFormat="1" applyFont="1" applyFill="1" applyBorder="1" applyAlignment="1">
      <alignment horizontal="left" vertical="center" shrinkToFit="1"/>
    </xf>
    <xf numFmtId="166" fontId="60" fillId="0" borderId="0" xfId="0" applyNumberFormat="1" applyFont="1" applyFill="1" applyBorder="1" applyAlignment="1">
      <alignment horizontal="left" vertical="center" shrinkToFit="1"/>
    </xf>
    <xf numFmtId="43" fontId="60" fillId="0" borderId="0" xfId="0" applyNumberFormat="1" applyFont="1" applyFill="1" applyBorder="1" applyAlignment="1">
      <alignment horizontal="left" vertical="center" shrinkToFit="1"/>
    </xf>
    <xf numFmtId="166" fontId="36" fillId="0" borderId="0" xfId="0" applyNumberFormat="1" applyFont="1" applyFill="1" applyBorder="1" applyAlignment="1">
      <alignment horizontal="center" shrinkToFit="1"/>
    </xf>
    <xf numFmtId="43" fontId="36" fillId="0" borderId="0" xfId="3" applyFont="1" applyFill="1" applyBorder="1" applyAlignment="1">
      <alignment horizontal="center" shrinkToFit="1"/>
    </xf>
    <xf numFmtId="166" fontId="37" fillId="0" borderId="0" xfId="0" applyNumberFormat="1" applyFont="1" applyFill="1" applyBorder="1" applyAlignment="1">
      <alignment horizontal="center" shrinkToFit="1"/>
    </xf>
    <xf numFmtId="43" fontId="37" fillId="0" borderId="0" xfId="3" applyFont="1" applyFill="1" applyBorder="1" applyAlignment="1">
      <alignment horizontal="center" shrinkToFit="1"/>
    </xf>
    <xf numFmtId="14" fontId="36" fillId="0" borderId="0" xfId="3" applyNumberFormat="1" applyFont="1" applyFill="1" applyBorder="1" applyAlignment="1">
      <alignment horizontal="center" shrinkToFit="1"/>
    </xf>
    <xf numFmtId="14" fontId="38" fillId="0" borderId="0" xfId="0" applyNumberFormat="1" applyFont="1" applyFill="1" applyBorder="1" applyAlignment="1">
      <alignment horizontal="center" shrinkToFit="1"/>
    </xf>
    <xf numFmtId="14" fontId="37" fillId="0" borderId="0" xfId="0" applyNumberFormat="1" applyFont="1" applyFill="1" applyBorder="1" applyAlignment="1">
      <alignment horizontal="center" shrinkToFit="1"/>
    </xf>
    <xf numFmtId="4" fontId="36" fillId="0" borderId="0" xfId="0" applyNumberFormat="1" applyFont="1" applyFill="1" applyBorder="1" applyAlignment="1">
      <alignment horizontal="center" shrinkToFit="1"/>
    </xf>
    <xf numFmtId="43" fontId="36" fillId="0" borderId="0" xfId="3" applyNumberFormat="1" applyFont="1" applyFill="1" applyBorder="1" applyAlignment="1">
      <alignment horizontal="center" shrinkToFit="1"/>
    </xf>
    <xf numFmtId="0" fontId="0" fillId="0" borderId="0" xfId="0" applyBorder="1" applyAlignment="1">
      <alignment horizontal="center"/>
    </xf>
    <xf numFmtId="43" fontId="0" fillId="0" borderId="0" xfId="3" applyFont="1" applyBorder="1" applyAlignment="1">
      <alignment horizontal="center"/>
    </xf>
    <xf numFmtId="166" fontId="0" fillId="0" borderId="0" xfId="0" applyNumberFormat="1" applyBorder="1" applyAlignment="1">
      <alignment horizontal="center"/>
    </xf>
    <xf numFmtId="14" fontId="0" fillId="0" borderId="0" xfId="0" applyNumberFormat="1" applyBorder="1" applyAlignment="1">
      <alignment horizontal="center"/>
    </xf>
    <xf numFmtId="14" fontId="36" fillId="0" borderId="0" xfId="0" applyNumberFormat="1" applyFont="1" applyFill="1" applyBorder="1" applyAlignment="1">
      <alignment horizontal="center" shrinkToFit="1"/>
    </xf>
    <xf numFmtId="14" fontId="59" fillId="0" borderId="0" xfId="4" applyNumberFormat="1" applyFont="1" applyFill="1" applyBorder="1" applyAlignment="1">
      <alignment horizontal="center" shrinkToFit="1"/>
    </xf>
    <xf numFmtId="4" fontId="38" fillId="0" borderId="0" xfId="0" applyNumberFormat="1" applyFont="1" applyBorder="1" applyAlignment="1">
      <alignment horizontal="center"/>
    </xf>
    <xf numFmtId="0" fontId="38" fillId="0" borderId="0" xfId="0" applyFont="1" applyBorder="1" applyAlignment="1">
      <alignment horizontal="center"/>
    </xf>
    <xf numFmtId="4" fontId="49" fillId="0" borderId="0" xfId="0" applyNumberFormat="1" applyFont="1" applyFill="1" applyBorder="1" applyAlignment="1">
      <alignment horizontal="center" shrinkToFit="1"/>
    </xf>
    <xf numFmtId="44" fontId="0" fillId="0" borderId="0" xfId="2" applyFont="1" applyAlignment="1">
      <alignment horizontal="center"/>
    </xf>
    <xf numFmtId="0" fontId="37" fillId="0" borderId="0" xfId="0" applyNumberFormat="1" applyFont="1" applyFill="1" applyBorder="1" applyAlignment="1">
      <alignment shrinkToFit="1"/>
    </xf>
    <xf numFmtId="166" fontId="36" fillId="0" borderId="0" xfId="0" applyNumberFormat="1" applyFont="1" applyFill="1" applyBorder="1" applyAlignment="1">
      <alignment horizontal="right" shrinkToFit="1"/>
    </xf>
    <xf numFmtId="39" fontId="36" fillId="0" borderId="0" xfId="0" applyNumberFormat="1" applyFont="1" applyFill="1" applyBorder="1" applyAlignment="1">
      <alignment horizontal="right" shrinkToFit="1"/>
    </xf>
    <xf numFmtId="166" fontId="37" fillId="0" borderId="0" xfId="0" applyNumberFormat="1" applyFont="1" applyFill="1" applyBorder="1" applyAlignment="1">
      <alignment shrinkToFit="1"/>
    </xf>
    <xf numFmtId="43" fontId="37" fillId="0" borderId="0" xfId="0" applyNumberFormat="1" applyFont="1" applyFill="1" applyBorder="1" applyAlignment="1">
      <alignment shrinkToFit="1"/>
    </xf>
    <xf numFmtId="14" fontId="2" fillId="0" borderId="0" xfId="0" applyNumberFormat="1" applyFont="1" applyFill="1" applyBorder="1" applyAlignment="1"/>
    <xf numFmtId="0" fontId="2" fillId="0" borderId="0" xfId="0" applyFont="1" applyFill="1"/>
    <xf numFmtId="0" fontId="2" fillId="0" borderId="0" xfId="0" applyFont="1" applyFill="1" applyAlignment="1">
      <alignment horizontal="center"/>
    </xf>
    <xf numFmtId="43" fontId="56" fillId="0" borderId="0" xfId="4" applyNumberFormat="1" applyFill="1"/>
    <xf numFmtId="0" fontId="37" fillId="0" borderId="0" xfId="0" applyNumberFormat="1" applyFont="1" applyFill="1" applyAlignment="1">
      <alignment horizontal="center" shrinkToFit="1"/>
    </xf>
    <xf numFmtId="166" fontId="2" fillId="0" borderId="0" xfId="0" applyNumberFormat="1" applyFont="1" applyFill="1"/>
    <xf numFmtId="43" fontId="2" fillId="0" borderId="0" xfId="3" applyFont="1" applyFill="1"/>
    <xf numFmtId="0" fontId="2" fillId="0" borderId="0" xfId="0" applyNumberFormat="1" applyFont="1" applyFill="1"/>
    <xf numFmtId="0" fontId="65" fillId="0" borderId="0" xfId="0" applyFont="1"/>
    <xf numFmtId="43" fontId="65" fillId="0" borderId="0" xfId="3" applyFont="1"/>
    <xf numFmtId="0" fontId="65" fillId="0" borderId="6" xfId="0" applyFont="1" applyBorder="1"/>
    <xf numFmtId="43" fontId="65" fillId="0" borderId="6" xfId="3" applyFont="1" applyBorder="1"/>
    <xf numFmtId="43" fontId="65" fillId="0" borderId="0" xfId="0" applyNumberFormat="1" applyFont="1"/>
    <xf numFmtId="0" fontId="66" fillId="0" borderId="3" xfId="0" applyFont="1" applyFill="1" applyBorder="1"/>
    <xf numFmtId="43" fontId="66" fillId="0" borderId="11" xfId="3" applyFont="1" applyBorder="1"/>
    <xf numFmtId="0" fontId="66" fillId="0" borderId="2" xfId="0" applyFont="1" applyFill="1" applyBorder="1"/>
    <xf numFmtId="43" fontId="66" fillId="0" borderId="7" xfId="3" applyFont="1" applyBorder="1"/>
    <xf numFmtId="0" fontId="66" fillId="0" borderId="6" xfId="0" applyFont="1" applyFill="1" applyBorder="1" applyAlignment="1">
      <alignment horizontal="center" wrapText="1"/>
    </xf>
    <xf numFmtId="43" fontId="66" fillId="0" borderId="6" xfId="3" applyFont="1" applyFill="1" applyBorder="1" applyAlignment="1">
      <alignment horizontal="center" wrapText="1"/>
    </xf>
    <xf numFmtId="0" fontId="64" fillId="0" borderId="12" xfId="0" applyFont="1" applyBorder="1" applyAlignment="1"/>
    <xf numFmtId="0" fontId="65" fillId="0" borderId="0" xfId="0" applyFont="1" applyFill="1"/>
    <xf numFmtId="167" fontId="65" fillId="0" borderId="0" xfId="0" applyNumberFormat="1" applyFont="1"/>
    <xf numFmtId="0" fontId="31" fillId="0" borderId="0" xfId="0" applyFont="1" applyBorder="1" applyAlignment="1">
      <alignment horizontal="center"/>
    </xf>
    <xf numFmtId="14" fontId="31" fillId="0" borderId="0" xfId="0" applyNumberFormat="1" applyFont="1" applyBorder="1" applyAlignment="1">
      <alignment horizontal="center"/>
    </xf>
    <xf numFmtId="0" fontId="37" fillId="0" borderId="0" xfId="0" applyFont="1" applyFill="1" applyBorder="1" applyAlignment="1">
      <alignment horizontal="center" shrinkToFit="1"/>
    </xf>
    <xf numFmtId="0" fontId="36" fillId="0" borderId="0" xfId="0" applyFont="1" applyFill="1" applyBorder="1" applyAlignment="1">
      <alignment horizontal="center" shrinkToFit="1"/>
    </xf>
    <xf numFmtId="0" fontId="31" fillId="0" borderId="0" xfId="0" applyFont="1" applyFill="1" applyAlignment="1"/>
    <xf numFmtId="0" fontId="31" fillId="0" borderId="0" xfId="0" applyFont="1" applyFill="1" applyBorder="1" applyAlignment="1"/>
    <xf numFmtId="0" fontId="31" fillId="0" borderId="0" xfId="0" applyNumberFormat="1" applyFont="1" applyFill="1" applyBorder="1" applyAlignment="1"/>
    <xf numFmtId="14" fontId="31" fillId="0" borderId="0" xfId="0" applyNumberFormat="1" applyFont="1" applyFill="1" applyBorder="1" applyAlignment="1"/>
    <xf numFmtId="0" fontId="40" fillId="0" borderId="0" xfId="0" applyFont="1" applyFill="1"/>
    <xf numFmtId="0" fontId="40" fillId="0" borderId="0" xfId="0" applyFont="1" applyFill="1" applyAlignment="1"/>
    <xf numFmtId="0" fontId="40" fillId="0" borderId="0" xfId="0" applyFont="1" applyFill="1" applyAlignment="1">
      <alignment horizontal="right"/>
    </xf>
    <xf numFmtId="14" fontId="40" fillId="0" borderId="0" xfId="0" applyNumberFormat="1" applyFont="1" applyFill="1" applyAlignment="1"/>
    <xf numFmtId="14" fontId="31" fillId="0" borderId="0" xfId="0" applyNumberFormat="1" applyFont="1" applyFill="1" applyAlignment="1"/>
    <xf numFmtId="0" fontId="31" fillId="0" borderId="0" xfId="0" applyFont="1" applyFill="1" applyAlignment="1">
      <alignment horizontal="center"/>
    </xf>
    <xf numFmtId="0" fontId="67" fillId="0" borderId="0" xfId="4" applyFont="1" applyFill="1"/>
    <xf numFmtId="14" fontId="36" fillId="0" borderId="0" xfId="4" applyNumberFormat="1" applyFont="1" applyFill="1" applyBorder="1" applyAlignment="1">
      <alignment horizontal="center" shrinkToFit="1"/>
    </xf>
    <xf numFmtId="43" fontId="31" fillId="0" borderId="0" xfId="0" applyNumberFormat="1" applyFont="1" applyFill="1" applyBorder="1" applyAlignment="1"/>
    <xf numFmtId="43" fontId="31" fillId="0" borderId="0" xfId="0" applyNumberFormat="1" applyFont="1" applyFill="1" applyBorder="1" applyAlignment="1">
      <alignment horizontal="center" vertical="center" wrapText="1"/>
    </xf>
    <xf numFmtId="43" fontId="31" fillId="0" borderId="0" xfId="3" applyNumberFormat="1" applyFont="1" applyFill="1" applyBorder="1"/>
    <xf numFmtId="43" fontId="31" fillId="0" borderId="0" xfId="3" applyNumberFormat="1" applyFont="1" applyFill="1" applyBorder="1" applyAlignment="1">
      <alignment horizontal="center" vertical="center" wrapText="1"/>
    </xf>
    <xf numFmtId="43" fontId="31" fillId="0" borderId="0" xfId="3" applyNumberFormat="1" applyFont="1" applyFill="1"/>
    <xf numFmtId="14" fontId="31" fillId="0" borderId="0" xfId="0" applyNumberFormat="1" applyFont="1" applyFill="1" applyBorder="1"/>
    <xf numFmtId="14" fontId="31" fillId="0" borderId="0" xfId="0" applyNumberFormat="1" applyFont="1" applyFill="1" applyBorder="1" applyAlignment="1">
      <alignment horizontal="center" vertical="center"/>
    </xf>
    <xf numFmtId="14" fontId="37" fillId="0" borderId="0" xfId="0" applyNumberFormat="1" applyFont="1" applyFill="1" applyBorder="1" applyAlignment="1">
      <alignment shrinkToFit="1"/>
    </xf>
    <xf numFmtId="14" fontId="31" fillId="0" borderId="0" xfId="0" applyNumberFormat="1" applyFont="1" applyFill="1"/>
    <xf numFmtId="14" fontId="31" fillId="0" borderId="0" xfId="3" applyNumberFormat="1" applyFont="1" applyFill="1"/>
    <xf numFmtId="14" fontId="36" fillId="0" borderId="0" xfId="0" applyNumberFormat="1" applyFont="1" applyFill="1" applyBorder="1" applyAlignment="1">
      <alignment horizontal="right" shrinkToFit="1"/>
    </xf>
    <xf numFmtId="0" fontId="31" fillId="0" borderId="20" xfId="0" applyFont="1" applyFill="1" applyBorder="1"/>
    <xf numFmtId="164" fontId="31" fillId="0" borderId="21" xfId="0" applyNumberFormat="1" applyFont="1" applyFill="1" applyBorder="1"/>
    <xf numFmtId="164" fontId="31" fillId="0" borderId="22" xfId="0" applyNumberFormat="1" applyFont="1" applyFill="1" applyBorder="1"/>
    <xf numFmtId="44" fontId="36" fillId="0" borderId="0" xfId="2" applyFont="1" applyFill="1" applyBorder="1" applyAlignment="1">
      <alignment horizontal="center" shrinkToFit="1"/>
    </xf>
    <xf numFmtId="44" fontId="31" fillId="0" borderId="0" xfId="2" applyFont="1" applyBorder="1" applyAlignment="1">
      <alignment horizontal="center"/>
    </xf>
    <xf numFmtId="44" fontId="37" fillId="0" borderId="0" xfId="2" applyFont="1" applyBorder="1" applyAlignment="1">
      <alignment horizontal="center"/>
    </xf>
    <xf numFmtId="44" fontId="31" fillId="0" borderId="0" xfId="2" applyFont="1" applyAlignment="1">
      <alignment horizontal="center"/>
    </xf>
    <xf numFmtId="43" fontId="31" fillId="0" borderId="0" xfId="0" applyNumberFormat="1" applyFont="1" applyFill="1" applyBorder="1" applyAlignment="1">
      <alignment horizontal="center" vertical="center"/>
    </xf>
    <xf numFmtId="43" fontId="36" fillId="0" borderId="0" xfId="2" applyNumberFormat="1" applyFont="1" applyFill="1" applyBorder="1" applyAlignment="1">
      <alignment horizontal="center" shrinkToFit="1"/>
    </xf>
    <xf numFmtId="43" fontId="41" fillId="0" borderId="0" xfId="2" applyNumberFormat="1" applyFont="1" applyFill="1" applyBorder="1" applyAlignment="1">
      <alignment horizontal="center" shrinkToFit="1"/>
    </xf>
    <xf numFmtId="43" fontId="31" fillId="0" borderId="0" xfId="2" applyNumberFormat="1" applyFont="1" applyBorder="1" applyAlignment="1">
      <alignment horizontal="center"/>
    </xf>
    <xf numFmtId="43" fontId="31" fillId="0" borderId="0" xfId="2" applyNumberFormat="1" applyFont="1" applyBorder="1" applyAlignment="1">
      <alignment horizontal="right"/>
    </xf>
    <xf numFmtId="43" fontId="37" fillId="0" borderId="0" xfId="2" applyNumberFormat="1" applyFont="1" applyBorder="1" applyAlignment="1">
      <alignment horizontal="center"/>
    </xf>
    <xf numFmtId="43" fontId="68" fillId="0" borderId="0" xfId="2" applyNumberFormat="1" applyFont="1" applyFill="1" applyBorder="1" applyAlignment="1">
      <alignment horizontal="center" shrinkToFit="1"/>
    </xf>
    <xf numFmtId="43" fontId="37" fillId="0" borderId="0" xfId="2" applyNumberFormat="1" applyFont="1" applyFill="1" applyBorder="1" applyAlignment="1">
      <alignment horizontal="center" shrinkToFit="1"/>
    </xf>
    <xf numFmtId="164" fontId="36" fillId="0" borderId="27" xfId="0" applyNumberFormat="1" applyFont="1" applyBorder="1" applyAlignment="1">
      <alignment vertical="center"/>
    </xf>
    <xf numFmtId="14" fontId="36" fillId="0" borderId="0" xfId="0" applyNumberFormat="1" applyFont="1" applyFill="1" applyAlignment="1">
      <alignment horizontal="center" shrinkToFit="1"/>
    </xf>
    <xf numFmtId="0" fontId="36" fillId="0" borderId="0" xfId="0" applyNumberFormat="1" applyFont="1" applyFill="1" applyAlignment="1">
      <alignment horizontal="center" shrinkToFit="1"/>
    </xf>
    <xf numFmtId="44" fontId="36" fillId="0" borderId="0" xfId="2" applyFont="1" applyFill="1" applyAlignment="1">
      <alignment horizontal="center" shrinkToFit="1"/>
    </xf>
    <xf numFmtId="43" fontId="36" fillId="0" borderId="0" xfId="2" applyNumberFormat="1" applyFont="1" applyFill="1" applyAlignment="1">
      <alignment horizontal="center" shrinkToFit="1"/>
    </xf>
    <xf numFmtId="14" fontId="37" fillId="0" borderId="0" xfId="0" applyNumberFormat="1" applyFont="1" applyFill="1" applyAlignment="1">
      <alignment horizontal="center" shrinkToFit="1"/>
    </xf>
    <xf numFmtId="0" fontId="39" fillId="0" borderId="0" xfId="0" applyFont="1" applyFill="1" applyAlignment="1">
      <alignment vertical="center"/>
    </xf>
    <xf numFmtId="43" fontId="31" fillId="0" borderId="0" xfId="3" applyFont="1"/>
    <xf numFmtId="43" fontId="67" fillId="0" borderId="0" xfId="3" applyFont="1" applyFill="1"/>
    <xf numFmtId="0" fontId="70" fillId="0" borderId="20" xfId="0" applyFont="1" applyFill="1" applyBorder="1"/>
    <xf numFmtId="39" fontId="2" fillId="0" borderId="0" xfId="0" applyNumberFormat="1" applyFont="1" applyFill="1"/>
    <xf numFmtId="39" fontId="2" fillId="0" borderId="0" xfId="0" applyNumberFormat="1" applyFont="1" applyFill="1" applyAlignment="1">
      <alignment wrapText="1"/>
    </xf>
    <xf numFmtId="39" fontId="46" fillId="0" borderId="6" xfId="3" applyNumberFormat="1" applyFont="1" applyFill="1" applyBorder="1" applyAlignment="1">
      <alignment horizontal="center" wrapText="1"/>
    </xf>
    <xf numFmtId="39" fontId="2" fillId="0" borderId="6" xfId="3" applyNumberFormat="1" applyFont="1" applyFill="1" applyBorder="1"/>
    <xf numFmtId="39" fontId="46" fillId="0" borderId="3" xfId="0" applyNumberFormat="1" applyFont="1" applyFill="1" applyBorder="1"/>
    <xf numFmtId="39" fontId="46" fillId="0" borderId="11" xfId="3" applyNumberFormat="1" applyFont="1" applyFill="1" applyBorder="1"/>
    <xf numFmtId="39" fontId="2" fillId="0" borderId="0" xfId="3" applyNumberFormat="1" applyFont="1" applyFill="1"/>
    <xf numFmtId="39" fontId="46" fillId="0" borderId="2" xfId="0" applyNumberFormat="1" applyFont="1" applyFill="1" applyBorder="1"/>
    <xf numFmtId="39" fontId="46" fillId="0" borderId="7" xfId="3" applyNumberFormat="1" applyFont="1" applyFill="1" applyBorder="1"/>
    <xf numFmtId="39" fontId="34" fillId="0" borderId="0" xfId="0" applyNumberFormat="1" applyFont="1" applyFill="1" applyBorder="1" applyAlignment="1"/>
    <xf numFmtId="39" fontId="46" fillId="0" borderId="0" xfId="0" applyNumberFormat="1" applyFont="1" applyFill="1" applyBorder="1" applyAlignment="1"/>
    <xf numFmtId="39" fontId="46" fillId="0" borderId="28" xfId="0" applyNumberFormat="1" applyFont="1" applyFill="1" applyBorder="1" applyAlignment="1">
      <alignment horizontal="center" wrapText="1"/>
    </xf>
    <xf numFmtId="39" fontId="46" fillId="0" borderId="29" xfId="3" applyNumberFormat="1" applyFont="1" applyFill="1" applyBorder="1" applyAlignment="1">
      <alignment horizontal="center" wrapText="1"/>
    </xf>
    <xf numFmtId="39" fontId="46" fillId="0" borderId="30" xfId="3" applyNumberFormat="1" applyFont="1" applyFill="1" applyBorder="1" applyAlignment="1">
      <alignment horizontal="center" wrapText="1"/>
    </xf>
    <xf numFmtId="39" fontId="2" fillId="0" borderId="28" xfId="0" applyNumberFormat="1" applyFont="1" applyFill="1" applyBorder="1"/>
    <xf numFmtId="39" fontId="63" fillId="0" borderId="29" xfId="0" applyNumberFormat="1" applyFont="1" applyFill="1" applyBorder="1" applyAlignment="1">
      <alignment vertical="center"/>
    </xf>
    <xf numFmtId="39" fontId="2" fillId="0" borderId="29" xfId="3" applyNumberFormat="1" applyFont="1" applyFill="1" applyBorder="1"/>
    <xf numFmtId="39" fontId="2" fillId="0" borderId="30" xfId="3" applyNumberFormat="1" applyFont="1" applyFill="1" applyBorder="1"/>
    <xf numFmtId="39" fontId="46" fillId="0" borderId="28" xfId="3" applyNumberFormat="1" applyFont="1" applyFill="1" applyBorder="1" applyAlignment="1">
      <alignment horizontal="center" wrapText="1"/>
    </xf>
    <xf numFmtId="39" fontId="2" fillId="0" borderId="28" xfId="3" applyNumberFormat="1" applyFont="1" applyFill="1" applyBorder="1"/>
    <xf numFmtId="0" fontId="71" fillId="0" borderId="0" xfId="0" applyFont="1" applyFill="1" applyAlignment="1">
      <alignment vertical="center"/>
    </xf>
    <xf numFmtId="164" fontId="71" fillId="0" borderId="0" xfId="0" applyNumberFormat="1" applyFont="1" applyFill="1" applyAlignment="1">
      <alignment vertical="center"/>
    </xf>
    <xf numFmtId="0" fontId="36" fillId="0" borderId="11" xfId="0" applyFont="1" applyFill="1" applyBorder="1" applyAlignment="1">
      <alignment vertical="center"/>
    </xf>
    <xf numFmtId="164" fontId="36" fillId="0" borderId="11" xfId="0" applyNumberFormat="1" applyFont="1" applyFill="1" applyBorder="1" applyAlignment="1">
      <alignment vertical="center"/>
    </xf>
    <xf numFmtId="0" fontId="39" fillId="0" borderId="31" xfId="0" applyFont="1" applyFill="1" applyBorder="1" applyAlignment="1">
      <alignment vertical="center"/>
    </xf>
    <xf numFmtId="164" fontId="36" fillId="0" borderId="31" xfId="0" applyNumberFormat="1" applyFont="1" applyFill="1" applyBorder="1" applyAlignment="1">
      <alignment vertical="center"/>
    </xf>
    <xf numFmtId="0" fontId="72" fillId="0" borderId="0" xfId="5" applyFont="1"/>
    <xf numFmtId="43" fontId="72" fillId="0" borderId="0" xfId="6" applyFont="1"/>
    <xf numFmtId="40" fontId="36" fillId="0" borderId="0" xfId="2" applyNumberFormat="1" applyFont="1" applyFill="1" applyBorder="1" applyAlignment="1">
      <alignment horizontal="right" shrinkToFit="1"/>
    </xf>
    <xf numFmtId="40" fontId="73" fillId="0" borderId="0" xfId="2" applyNumberFormat="1" applyFont="1" applyFill="1" applyBorder="1" applyAlignment="1">
      <alignment horizontal="right" shrinkToFit="1"/>
    </xf>
    <xf numFmtId="40" fontId="41" fillId="0" borderId="0" xfId="2" applyNumberFormat="1" applyFont="1" applyFill="1" applyBorder="1" applyAlignment="1">
      <alignment horizontal="right" shrinkToFit="1"/>
    </xf>
    <xf numFmtId="0" fontId="74" fillId="0" borderId="0" xfId="0" applyNumberFormat="1" applyFont="1" applyFill="1" applyBorder="1" applyAlignment="1">
      <alignment horizontal="center" shrinkToFit="1"/>
    </xf>
    <xf numFmtId="14" fontId="71" fillId="0" borderId="0" xfId="0" applyNumberFormat="1" applyFont="1" applyFill="1" applyBorder="1" applyAlignment="1">
      <alignment horizontal="center" shrinkToFit="1"/>
    </xf>
    <xf numFmtId="0" fontId="71" fillId="0" borderId="0" xfId="0" applyNumberFormat="1" applyFont="1" applyFill="1" applyBorder="1" applyAlignment="1">
      <alignment horizontal="center" shrinkToFit="1"/>
    </xf>
    <xf numFmtId="44" fontId="71" fillId="0" borderId="0" xfId="2" applyFont="1" applyFill="1" applyBorder="1" applyAlignment="1">
      <alignment horizontal="center" shrinkToFit="1"/>
    </xf>
    <xf numFmtId="40" fontId="71" fillId="0" borderId="0" xfId="2" applyNumberFormat="1" applyFont="1" applyFill="1" applyBorder="1" applyAlignment="1">
      <alignment horizontal="right" shrinkToFit="1"/>
    </xf>
    <xf numFmtId="14" fontId="74" fillId="0" borderId="0" xfId="0" applyNumberFormat="1" applyFont="1" applyFill="1" applyBorder="1" applyAlignment="1">
      <alignment horizontal="center" shrinkToFit="1"/>
    </xf>
    <xf numFmtId="0" fontId="31" fillId="0" borderId="0" xfId="0" applyFont="1" applyFill="1" applyBorder="1" applyAlignment="1">
      <alignment horizontal="center"/>
    </xf>
    <xf numFmtId="40" fontId="31" fillId="0" borderId="0" xfId="2" applyNumberFormat="1" applyFont="1" applyFill="1" applyBorder="1" applyAlignment="1">
      <alignment horizontal="right"/>
    </xf>
    <xf numFmtId="14" fontId="31" fillId="0" borderId="0" xfId="0" applyNumberFormat="1" applyFont="1" applyFill="1" applyBorder="1" applyAlignment="1">
      <alignment horizontal="center"/>
    </xf>
    <xf numFmtId="40" fontId="41" fillId="0" borderId="0" xfId="2" applyNumberFormat="1" applyFont="1" applyFill="1" applyBorder="1" applyAlignment="1">
      <alignment horizontal="right"/>
    </xf>
    <xf numFmtId="44" fontId="31" fillId="0" borderId="0" xfId="2" applyFont="1" applyFill="1" applyBorder="1" applyAlignment="1">
      <alignment horizontal="center"/>
    </xf>
    <xf numFmtId="0" fontId="75" fillId="4" borderId="0" xfId="0" applyFont="1" applyFill="1" applyAlignment="1">
      <alignment horizontal="center"/>
    </xf>
    <xf numFmtId="169" fontId="31" fillId="0" borderId="0" xfId="0" applyNumberFormat="1" applyFont="1" applyAlignment="1">
      <alignment horizontal="center"/>
    </xf>
    <xf numFmtId="0" fontId="31" fillId="0" borderId="0" xfId="0" applyFont="1" applyAlignment="1">
      <alignment horizontal="center"/>
    </xf>
    <xf numFmtId="168" fontId="46" fillId="0" borderId="12" xfId="0" applyNumberFormat="1" applyFont="1" applyBorder="1" applyAlignment="1">
      <alignment horizontal="center"/>
    </xf>
    <xf numFmtId="169" fontId="46" fillId="0" borderId="12" xfId="0" applyNumberFormat="1" applyFont="1" applyBorder="1" applyAlignment="1">
      <alignment horizontal="center"/>
    </xf>
    <xf numFmtId="0" fontId="46" fillId="0" borderId="12" xfId="0" applyFont="1" applyBorder="1" applyAlignment="1">
      <alignment horizontal="center"/>
    </xf>
    <xf numFmtId="168" fontId="36" fillId="0" borderId="0" xfId="0" applyNumberFormat="1" applyFont="1" applyAlignment="1">
      <alignment horizontal="center"/>
    </xf>
    <xf numFmtId="169" fontId="36" fillId="0" borderId="0" xfId="0" applyNumberFormat="1" applyFont="1" applyAlignment="1">
      <alignment horizontal="center"/>
    </xf>
    <xf numFmtId="8" fontId="36" fillId="0" borderId="0" xfId="0" applyNumberFormat="1" applyFont="1" applyAlignment="1">
      <alignment horizontal="center"/>
    </xf>
    <xf numFmtId="168" fontId="31" fillId="0" borderId="0" xfId="0" applyNumberFormat="1" applyFont="1" applyAlignment="1">
      <alignment horizontal="center"/>
    </xf>
    <xf numFmtId="169" fontId="31" fillId="0" borderId="0" xfId="0" applyNumberFormat="1" applyFont="1" applyAlignment="1">
      <alignment horizontal="left"/>
    </xf>
    <xf numFmtId="8" fontId="31" fillId="0" borderId="0" xfId="0" applyNumberFormat="1" applyFont="1" applyAlignment="1">
      <alignment horizontal="center"/>
    </xf>
    <xf numFmtId="20" fontId="31" fillId="0" borderId="0" xfId="0" applyNumberFormat="1" applyFont="1" applyAlignment="1">
      <alignment horizontal="center"/>
    </xf>
    <xf numFmtId="170" fontId="31" fillId="0" borderId="0" xfId="0" applyNumberFormat="1" applyFont="1" applyAlignment="1">
      <alignment horizontal="center"/>
    </xf>
    <xf numFmtId="18" fontId="31" fillId="0" borderId="0" xfId="0" applyNumberFormat="1" applyFont="1" applyAlignment="1">
      <alignment horizontal="center"/>
    </xf>
    <xf numFmtId="0" fontId="76" fillId="0" borderId="0" xfId="0" applyNumberFormat="1" applyFont="1" applyFill="1" applyBorder="1" applyAlignment="1">
      <alignment horizontal="center" shrinkToFit="1"/>
    </xf>
    <xf numFmtId="14" fontId="77" fillId="0" borderId="0" xfId="0" applyNumberFormat="1" applyFont="1" applyFill="1" applyBorder="1" applyAlignment="1">
      <alignment horizontal="center" shrinkToFit="1"/>
    </xf>
    <xf numFmtId="0" fontId="77" fillId="0" borderId="0" xfId="0" applyNumberFormat="1" applyFont="1" applyFill="1" applyBorder="1" applyAlignment="1">
      <alignment horizontal="center" shrinkToFit="1"/>
    </xf>
    <xf numFmtId="44" fontId="77" fillId="0" borderId="0" xfId="2" applyFont="1" applyFill="1" applyBorder="1" applyAlignment="1">
      <alignment horizontal="center" shrinkToFit="1"/>
    </xf>
    <xf numFmtId="40" fontId="77" fillId="0" borderId="0" xfId="2" applyNumberFormat="1" applyFont="1" applyFill="1" applyBorder="1" applyAlignment="1">
      <alignment horizontal="right" shrinkToFit="1"/>
    </xf>
    <xf numFmtId="14" fontId="76" fillId="0" borderId="0" xfId="0" applyNumberFormat="1" applyFont="1" applyFill="1" applyBorder="1" applyAlignment="1">
      <alignment horizontal="center" shrinkToFit="1"/>
    </xf>
    <xf numFmtId="14" fontId="77" fillId="0" borderId="0" xfId="0" applyNumberFormat="1" applyFont="1" applyFill="1" applyAlignment="1">
      <alignment horizontal="center" shrinkToFit="1"/>
    </xf>
    <xf numFmtId="0" fontId="77" fillId="0" borderId="0" xfId="0" applyNumberFormat="1" applyFont="1" applyFill="1" applyAlignment="1">
      <alignment horizontal="center" shrinkToFit="1"/>
    </xf>
    <xf numFmtId="44" fontId="77" fillId="0" borderId="0" xfId="2" applyFont="1" applyFill="1" applyAlignment="1">
      <alignment horizontal="center" shrinkToFit="1"/>
    </xf>
    <xf numFmtId="40" fontId="77" fillId="0" borderId="0" xfId="2" applyNumberFormat="1" applyFont="1" applyFill="1" applyAlignment="1">
      <alignment horizontal="right" shrinkToFit="1"/>
    </xf>
    <xf numFmtId="0" fontId="36" fillId="0" borderId="0" xfId="0" applyNumberFormat="1" applyFont="1" applyFill="1" applyAlignment="1">
      <alignment horizontal="left" shrinkToFit="1"/>
    </xf>
    <xf numFmtId="0" fontId="78" fillId="0" borderId="0" xfId="0" applyNumberFormat="1" applyFont="1" applyFill="1" applyBorder="1" applyAlignment="1">
      <alignment horizontal="center" shrinkToFit="1"/>
    </xf>
    <xf numFmtId="14" fontId="79" fillId="0" borderId="0" xfId="0" applyNumberFormat="1" applyFont="1" applyFill="1" applyBorder="1" applyAlignment="1">
      <alignment horizontal="center" shrinkToFit="1"/>
    </xf>
    <xf numFmtId="0" fontId="79" fillId="0" borderId="0" xfId="0" applyNumberFormat="1" applyFont="1" applyFill="1" applyBorder="1" applyAlignment="1">
      <alignment horizontal="center" shrinkToFit="1"/>
    </xf>
    <xf numFmtId="44" fontId="79" fillId="0" borderId="0" xfId="2" applyFont="1" applyFill="1" applyBorder="1" applyAlignment="1">
      <alignment horizontal="center" shrinkToFit="1"/>
    </xf>
    <xf numFmtId="40" fontId="79" fillId="0" borderId="0" xfId="2" applyNumberFormat="1" applyFont="1" applyFill="1" applyBorder="1" applyAlignment="1">
      <alignment horizontal="right" shrinkToFit="1"/>
    </xf>
    <xf numFmtId="14" fontId="78" fillId="0" borderId="0" xfId="0" applyNumberFormat="1" applyFont="1" applyFill="1" applyBorder="1" applyAlignment="1">
      <alignment horizontal="center" shrinkToFit="1"/>
    </xf>
    <xf numFmtId="44" fontId="31" fillId="0" borderId="0" xfId="0" applyNumberFormat="1" applyFont="1" applyFill="1"/>
    <xf numFmtId="0" fontId="78" fillId="0" borderId="0" xfId="0" applyNumberFormat="1" applyFont="1" applyFill="1" applyAlignment="1">
      <alignment horizontal="center" shrinkToFit="1"/>
    </xf>
    <xf numFmtId="14" fontId="79" fillId="0" borderId="0" xfId="0" applyNumberFormat="1" applyFont="1" applyFill="1" applyAlignment="1">
      <alignment horizontal="center" shrinkToFit="1"/>
    </xf>
    <xf numFmtId="0" fontId="79" fillId="0" borderId="0" xfId="0" applyNumberFormat="1" applyFont="1" applyFill="1" applyAlignment="1">
      <alignment horizontal="center" shrinkToFit="1"/>
    </xf>
    <xf numFmtId="44" fontId="79" fillId="0" borderId="0" xfId="2" applyFont="1" applyFill="1" applyAlignment="1">
      <alignment horizontal="center" shrinkToFit="1"/>
    </xf>
    <xf numFmtId="40" fontId="79" fillId="0" borderId="0" xfId="2" applyNumberFormat="1" applyFont="1" applyFill="1" applyAlignment="1">
      <alignment horizontal="right" shrinkToFit="1"/>
    </xf>
    <xf numFmtId="14" fontId="78" fillId="0" borderId="0" xfId="0" applyNumberFormat="1" applyFont="1" applyFill="1" applyAlignment="1">
      <alignment horizontal="center" shrinkToFit="1"/>
    </xf>
    <xf numFmtId="43" fontId="39" fillId="0" borderId="0" xfId="0" applyNumberFormat="1" applyFont="1" applyFill="1" applyBorder="1" applyAlignment="1">
      <alignment horizontal="right" shrinkToFit="1"/>
    </xf>
    <xf numFmtId="0" fontId="31" fillId="0" borderId="23" xfId="0" applyFont="1" applyFill="1" applyBorder="1" applyAlignment="1">
      <alignment horizontal="left" vertical="top" wrapText="1"/>
    </xf>
    <xf numFmtId="0" fontId="31" fillId="0" borderId="0" xfId="0" applyFont="1" applyFill="1" applyBorder="1" applyAlignment="1">
      <alignment horizontal="left" vertical="top" wrapText="1"/>
    </xf>
    <xf numFmtId="0" fontId="31" fillId="0" borderId="24" xfId="0" applyFont="1" applyFill="1" applyBorder="1" applyAlignment="1">
      <alignment horizontal="left" vertical="top" wrapText="1"/>
    </xf>
    <xf numFmtId="0" fontId="31" fillId="0" borderId="25" xfId="0" applyFont="1" applyFill="1" applyBorder="1" applyAlignment="1">
      <alignment horizontal="left" vertical="top" wrapText="1"/>
    </xf>
    <xf numFmtId="0" fontId="31" fillId="0" borderId="12" xfId="0" applyFont="1" applyFill="1" applyBorder="1" applyAlignment="1">
      <alignment horizontal="left" vertical="top" wrapText="1"/>
    </xf>
    <xf numFmtId="0" fontId="31" fillId="0" borderId="26" xfId="0" applyFont="1" applyFill="1" applyBorder="1" applyAlignment="1">
      <alignment horizontal="left" vertical="top" wrapText="1"/>
    </xf>
    <xf numFmtId="0" fontId="55" fillId="0" borderId="12" xfId="0" applyFont="1" applyBorder="1" applyAlignment="1">
      <alignment horizontal="center"/>
    </xf>
    <xf numFmtId="0" fontId="28" fillId="0" borderId="0" xfId="0" applyFont="1" applyFill="1" applyAlignment="1">
      <alignment horizontal="center"/>
    </xf>
    <xf numFmtId="0" fontId="3" fillId="0" borderId="0" xfId="0" applyFont="1" applyFill="1" applyAlignment="1">
      <alignment horizontal="center"/>
    </xf>
    <xf numFmtId="0" fontId="33" fillId="0" borderId="0" xfId="0" applyFont="1" applyAlignment="1">
      <alignment horizontal="left" vertical="center" indent="9"/>
    </xf>
    <xf numFmtId="0" fontId="28" fillId="0" borderId="0" xfId="0" applyFont="1" applyAlignment="1">
      <alignment horizontal="center"/>
    </xf>
    <xf numFmtId="0" fontId="29" fillId="0" borderId="0" xfId="0" applyFont="1" applyAlignment="1">
      <alignment horizontal="left" indent="8"/>
    </xf>
    <xf numFmtId="0" fontId="30" fillId="0" borderId="0" xfId="0" applyFont="1" applyAlignment="1">
      <alignment horizontal="left" indent="8"/>
    </xf>
    <xf numFmtId="0" fontId="32" fillId="0" borderId="0" xfId="0" applyFont="1" applyAlignment="1">
      <alignment horizontal="left" indent="9"/>
    </xf>
    <xf numFmtId="0" fontId="11" fillId="0" borderId="0" xfId="0" applyFont="1" applyAlignment="1">
      <alignment horizontal="center"/>
    </xf>
    <xf numFmtId="0" fontId="8" fillId="0" borderId="0" xfId="0" applyFont="1" applyAlignment="1">
      <alignment horizontal="left" indent="8"/>
    </xf>
    <xf numFmtId="0" fontId="7" fillId="0" borderId="0" xfId="0" applyFont="1" applyAlignment="1">
      <alignment horizontal="left" indent="9"/>
    </xf>
    <xf numFmtId="0" fontId="6" fillId="0" borderId="0" xfId="0" applyFont="1" applyAlignment="1">
      <alignment horizontal="left" vertical="center" indent="9"/>
    </xf>
    <xf numFmtId="8" fontId="31" fillId="0" borderId="0" xfId="0" applyNumberFormat="1" applyFont="1" applyFill="1"/>
    <xf numFmtId="0" fontId="79" fillId="0" borderId="0" xfId="0" applyFont="1" applyFill="1" applyBorder="1" applyAlignment="1">
      <alignment vertical="center"/>
    </xf>
    <xf numFmtId="164" fontId="79" fillId="0" borderId="0" xfId="0" applyNumberFormat="1" applyFont="1" applyFill="1" applyBorder="1" applyAlignment="1">
      <alignment vertical="center"/>
    </xf>
    <xf numFmtId="0" fontId="39" fillId="0" borderId="7" xfId="0" applyFont="1" applyFill="1" applyBorder="1" applyAlignment="1">
      <alignment vertical="center"/>
    </xf>
    <xf numFmtId="0" fontId="79" fillId="0" borderId="0" xfId="0" applyFont="1" applyFill="1" applyAlignment="1">
      <alignment vertical="center"/>
    </xf>
    <xf numFmtId="0" fontId="80" fillId="0" borderId="0" xfId="0" applyFont="1" applyAlignment="1">
      <alignment horizontal="left" vertical="top"/>
    </xf>
    <xf numFmtId="43" fontId="80" fillId="0" borderId="0" xfId="3" applyFont="1" applyFill="1" applyBorder="1" applyAlignment="1">
      <alignment horizontal="right" vertical="top"/>
    </xf>
    <xf numFmtId="43" fontId="80" fillId="7" borderId="0" xfId="3" applyFont="1" applyFill="1" applyBorder="1" applyAlignment="1">
      <alignment horizontal="right" vertical="top"/>
    </xf>
    <xf numFmtId="0" fontId="81" fillId="0" borderId="0" xfId="0" applyFont="1" applyAlignment="1">
      <alignment horizontal="left" wrapText="1"/>
    </xf>
    <xf numFmtId="43" fontId="82" fillId="0" borderId="0" xfId="3" applyFont="1" applyFill="1" applyBorder="1" applyAlignment="1">
      <alignment horizontal="center" wrapText="1"/>
    </xf>
    <xf numFmtId="43" fontId="82" fillId="7" borderId="0" xfId="3" applyFont="1" applyFill="1" applyBorder="1" applyAlignment="1">
      <alignment horizontal="center" wrapText="1"/>
    </xf>
    <xf numFmtId="0" fontId="83" fillId="0" borderId="0" xfId="0" applyFont="1" applyAlignment="1">
      <alignment horizontal="left" vertical="top" wrapText="1"/>
    </xf>
    <xf numFmtId="43" fontId="84" fillId="0" borderId="0" xfId="3" applyFont="1" applyFill="1" applyBorder="1" applyAlignment="1">
      <alignment horizontal="right" vertical="top"/>
    </xf>
    <xf numFmtId="43" fontId="84" fillId="7" borderId="0" xfId="3" applyFont="1" applyFill="1" applyBorder="1" applyAlignment="1">
      <alignment horizontal="right" vertical="top"/>
    </xf>
    <xf numFmtId="0" fontId="85" fillId="0" borderId="0" xfId="0" applyFont="1" applyAlignment="1">
      <alignment horizontal="left" vertical="top" wrapText="1"/>
    </xf>
    <xf numFmtId="43" fontId="84" fillId="0" borderId="7" xfId="3" applyFont="1" applyFill="1" applyBorder="1" applyAlignment="1">
      <alignment horizontal="right" vertical="top"/>
    </xf>
    <xf numFmtId="0" fontId="84" fillId="0" borderId="0" xfId="0" applyFont="1" applyAlignment="1">
      <alignment horizontal="left" wrapText="1"/>
    </xf>
    <xf numFmtId="43" fontId="84" fillId="0" borderId="0" xfId="3" applyFont="1" applyFill="1" applyBorder="1" applyAlignment="1">
      <alignment vertical="top"/>
    </xf>
    <xf numFmtId="43" fontId="84" fillId="0" borderId="32" xfId="3" applyFont="1" applyFill="1" applyBorder="1" applyAlignment="1">
      <alignment horizontal="right" vertical="top"/>
    </xf>
    <xf numFmtId="43" fontId="42" fillId="0" borderId="0" xfId="3" applyFont="1" applyFill="1" applyBorder="1" applyAlignment="1">
      <alignment horizontal="right" vertical="top"/>
    </xf>
    <xf numFmtId="43" fontId="87" fillId="0" borderId="0" xfId="3" applyFont="1" applyFill="1" applyBorder="1" applyAlignment="1">
      <alignment horizontal="center" wrapText="1"/>
    </xf>
    <xf numFmtId="43" fontId="87" fillId="7" borderId="0" xfId="3" applyFont="1" applyFill="1" applyBorder="1" applyAlignment="1">
      <alignment horizontal="center" wrapText="1"/>
    </xf>
    <xf numFmtId="0" fontId="84" fillId="0" borderId="0" xfId="0" applyFont="1" applyAlignment="1">
      <alignment horizontal="left" vertical="top"/>
    </xf>
  </cellXfs>
  <cellStyles count="7">
    <cellStyle name="Accent5" xfId="4" builtinId="45"/>
    <cellStyle name="Comma" xfId="3" builtinId="3"/>
    <cellStyle name="Comma 2" xfId="6" xr:uid="{9D11E12F-A014-4347-8F26-0B8A312F38CD}"/>
    <cellStyle name="Currency" xfId="2" builtinId="4"/>
    <cellStyle name="Normal" xfId="0" builtinId="0" customBuiltin="1"/>
    <cellStyle name="Normal 2" xfId="5" xr:uid="{09A998F8-5198-4B86-A947-0E76FEF42BCF}"/>
    <cellStyle name="Note" xfId="1" builtinId="10"/>
  </cellStyles>
  <dxfs count="543">
    <dxf>
      <font>
        <b val="0"/>
        <i val="0"/>
        <strike val="0"/>
        <condense val="0"/>
        <extend val="0"/>
        <outline val="0"/>
        <shadow val="0"/>
        <u val="none"/>
        <vertAlign val="baseline"/>
        <sz val="10"/>
        <color rgb="FF000000"/>
        <name val="Calibri"/>
        <family val="2"/>
        <scheme val="none"/>
      </font>
      <numFmt numFmtId="19" formatCode="m/d/yy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rgb="FF000000"/>
        <name val="Calibri"/>
        <family val="2"/>
        <scheme val="none"/>
      </font>
      <numFmt numFmtId="35" formatCode="_(* #,##0.00_);_(* \(#,##0.00\);_(* &quot;-&quot;??_);_(@_)"/>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rgb="FF000000"/>
        <name val="Calibri"/>
        <family val="2"/>
        <scheme val="none"/>
      </font>
      <numFmt numFmtId="19" formatCode="m/d/yy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b/>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family val="2"/>
        <scheme val="none"/>
      </font>
      <numFmt numFmtId="19" formatCode="m/d/yyyy"/>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rgb="FF000000"/>
        <name val="Calibri"/>
        <family val="2"/>
        <scheme val="none"/>
      </font>
      <numFmt numFmtId="0" formatCode="General"/>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sz val="10"/>
        <color rgb="FF000000"/>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rgb="FF000000"/>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rgb="FF000000"/>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auto="1"/>
        <name val="Calibri"/>
        <scheme val="none"/>
      </font>
      <numFmt numFmtId="8" formatCode="#,##0.00_);[Red]\(#,##0.00\)"/>
      <fill>
        <patternFill patternType="none">
          <fgColor indexed="64"/>
          <bgColor auto="1"/>
        </patternFill>
      </fill>
      <alignment horizontal="right" vertical="bottom" textRotation="0" wrapText="0" indent="0" justifyLastLine="0" shrinkToFit="1" readingOrder="0"/>
    </dxf>
    <dxf>
      <font>
        <strike val="0"/>
        <outline val="0"/>
        <shadow val="0"/>
        <u val="none"/>
        <vertAlign val="baseline"/>
        <sz val="10"/>
        <color auto="1"/>
        <name val="Calibri"/>
        <scheme val="none"/>
      </font>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auto="1"/>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rgb="FF000000"/>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color rgb="FF9C5700"/>
      </font>
      <fill>
        <patternFill>
          <bgColor rgb="FFFFEB9C"/>
        </patternFill>
      </fill>
    </dxf>
    <dxf>
      <fill>
        <patternFill>
          <bgColor rgb="FFFFFF00"/>
        </patternFill>
      </fill>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general" vertical="center" textRotation="0" wrapText="0" indent="0" justifyLastLine="0" shrinkToFit="0" readingOrder="0"/>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9C0006"/>
      </font>
      <fill>
        <patternFill>
          <bgColor rgb="FFFFC7CE"/>
        </patternFill>
      </fill>
    </dxf>
    <dxf>
      <font>
        <color rgb="FFFF0000"/>
      </font>
    </dxf>
    <dxf>
      <font>
        <color rgb="FFFF0000"/>
      </font>
    </dxf>
    <dxf>
      <font>
        <color rgb="FF9C0006"/>
      </font>
      <fill>
        <patternFill>
          <bgColor rgb="FFFFC7CE"/>
        </patternFill>
      </fill>
    </dxf>
    <dxf>
      <font>
        <color rgb="FFFF000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FF0000"/>
      </font>
    </dxf>
    <dxf>
      <font>
        <color rgb="FF9C5700"/>
      </font>
      <fill>
        <patternFill>
          <bgColor rgb="FFFFEB9C"/>
        </patternFill>
      </fill>
    </dxf>
    <dxf>
      <font>
        <color rgb="FF006100"/>
      </font>
      <fill>
        <patternFill>
          <bgColor rgb="FFC6EF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FF0000"/>
      </font>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FF0000"/>
      </font>
    </dxf>
    <dxf>
      <font>
        <color rgb="FF006100"/>
      </font>
      <fill>
        <patternFill>
          <bgColor rgb="FFC6EFCE"/>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color rgb="FFFF0000"/>
      </font>
    </dxf>
    <dxf>
      <font>
        <strike val="0"/>
        <outline val="0"/>
        <shadow val="0"/>
        <u val="none"/>
        <vertAlign val="baseline"/>
        <sz val="10"/>
        <color auto="1"/>
        <name val="Calibri"/>
        <family val="2"/>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name val="Calibri"/>
        <scheme val="none"/>
      </font>
      <fill>
        <patternFill patternType="none">
          <fgColor rgb="FF000000"/>
          <bgColor auto="1"/>
        </patternFill>
      </fill>
    </dxf>
    <dxf>
      <font>
        <strike val="0"/>
        <outline val="0"/>
        <shadow val="0"/>
        <u val="none"/>
        <vertAlign val="baseline"/>
        <sz val="10"/>
        <color auto="1"/>
        <name val="Calibri"/>
        <scheme val="none"/>
      </font>
      <fill>
        <patternFill patternType="none">
          <fgColor rgb="FF000000"/>
          <bgColor auto="1"/>
        </patternFill>
      </fill>
      <alignment horizontal="general" vertical="center" textRotation="0" wrapText="0" indent="0" justifyLastLine="0" shrinkToFit="0" readingOrder="0"/>
    </dxf>
    <dxf>
      <font>
        <strike val="0"/>
        <outline val="0"/>
        <shadow val="0"/>
        <u val="none"/>
        <vertAlign val="baseline"/>
        <sz val="10"/>
        <color theme="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rgb="FF000000"/>
        <name val="Calibri"/>
        <scheme val="none"/>
      </font>
      <numFmt numFmtId="0" formatCode="General"/>
      <fill>
        <patternFill patternType="none">
          <fgColor rgb="FF000000"/>
          <bgColor auto="1"/>
        </patternFill>
      </fill>
    </dxf>
    <dxf>
      <font>
        <strike val="0"/>
        <outline val="0"/>
        <shadow val="0"/>
        <u val="none"/>
        <vertAlign val="baseline"/>
        <sz val="10"/>
        <color rgb="FF000000"/>
        <name val="Calibri"/>
        <scheme val="none"/>
      </font>
      <numFmt numFmtId="0" formatCode="General"/>
      <fill>
        <patternFill patternType="none">
          <fgColor rgb="FF000000"/>
          <bgColor auto="1"/>
        </patternFill>
      </fill>
      <alignment horizontal="center" vertical="bottom" textRotation="0" wrapText="0" indent="0" justifyLastLine="0" readingOrder="0"/>
    </dxf>
    <dxf>
      <font>
        <strike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name val="Calibri"/>
        <scheme val="none"/>
      </font>
      <fill>
        <patternFill patternType="none">
          <fgColor indexed="64"/>
          <bgColor auto="1"/>
        </patternFill>
      </fill>
    </dxf>
    <dxf>
      <font>
        <strike val="0"/>
        <outline val="0"/>
        <shadow val="0"/>
        <u val="none"/>
        <vertAlign val="baseline"/>
        <sz val="10"/>
        <color theme="1"/>
        <name val="Calibri"/>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rgb="FF000000"/>
        <name val="Calibri"/>
        <scheme val="none"/>
      </font>
      <numFmt numFmtId="0" formatCode="General"/>
      <fill>
        <patternFill patternType="none">
          <fgColor indexed="64"/>
          <bgColor auto="1"/>
        </patternFill>
      </fill>
      <alignment horizontal="center" vertical="bottom" textRotation="0" wrapText="0" indent="0" justifyLastLine="0" readingOrder="0"/>
    </dxf>
    <dxf>
      <font>
        <strike val="0"/>
        <outline val="0"/>
        <shadow val="0"/>
        <u val="none"/>
        <vertAlign val="baseline"/>
        <sz val="10"/>
        <color rgb="FF000000"/>
        <name val="Calibri"/>
        <scheme val="none"/>
      </font>
      <numFmt numFmtId="0" formatCode="General"/>
      <fill>
        <patternFill patternType="none">
          <fgColor indexed="64"/>
          <bgColor auto="1"/>
        </patternFill>
      </fill>
    </dxf>
    <dxf>
      <font>
        <strike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rgb="FF000000"/>
        <name val="Calibri"/>
        <family val="2"/>
        <scheme val="none"/>
      </font>
      <numFmt numFmtId="19" formatCode="m/d/yyyy"/>
      <fill>
        <patternFill patternType="none">
          <fgColor indexed="64"/>
          <bgColor auto="1"/>
        </patternFill>
      </fill>
      <alignment horizontal="general" vertical="bottom" textRotation="0" wrapText="0" indent="0" justifyLastLine="0" shrinkToFit="1" readingOrder="0"/>
    </dxf>
    <dxf>
      <font>
        <strike val="0"/>
        <outline val="0"/>
        <shadow val="0"/>
        <u val="none"/>
        <vertAlign val="baseline"/>
        <sz val="10"/>
        <color rgb="FF000000"/>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family val="2"/>
        <scheme val="none"/>
      </font>
      <numFmt numFmtId="35" formatCode="_(* #,##0.00_);_(* \(#,##0.00\);_(* &quot;-&quot;??_);_(@_)"/>
      <fill>
        <patternFill patternType="none">
          <fgColor indexed="64"/>
          <bgColor auto="1"/>
        </patternFill>
      </fill>
      <alignment horizontal="general" vertical="bottom" textRotation="0" wrapText="0" indent="0" justifyLastLine="0" shrinkToFit="1" readingOrder="0"/>
    </dxf>
    <dxf>
      <font>
        <strike val="0"/>
        <outline val="0"/>
        <shadow val="0"/>
        <u val="none"/>
        <vertAlign val="baseline"/>
        <sz val="10"/>
        <color rgb="FF000000"/>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family val="2"/>
        <scheme val="none"/>
      </font>
      <numFmt numFmtId="19" formatCode="m/d/yyyy"/>
      <fill>
        <patternFill patternType="none">
          <fgColor indexed="64"/>
          <bgColor auto="1"/>
        </patternFill>
      </fill>
      <alignment horizontal="general" vertical="bottom" textRotation="0" wrapText="0" indent="0" justifyLastLine="0" shrinkToFit="1" readingOrder="0"/>
    </dxf>
    <dxf>
      <font>
        <strike val="0"/>
        <outline val="0"/>
        <shadow val="0"/>
        <u val="none"/>
        <vertAlign val="baseline"/>
        <sz val="10"/>
        <color rgb="FF000000"/>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auto="1"/>
        </patternFill>
      </fill>
      <alignment horizontal="right" vertical="bottom" textRotation="0" wrapText="0" indent="0" justifyLastLine="0" shrinkToFit="1" readingOrder="0"/>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auto="1"/>
        </patternFill>
      </fill>
      <alignment horizontal="right" vertical="bottom" textRotation="0" wrapText="0" indent="0" justifyLastLine="0" shrinkToFit="1" readingOrder="0"/>
    </dxf>
    <dxf>
      <font>
        <strike val="0"/>
        <outline val="0"/>
        <shadow val="0"/>
        <u val="none"/>
        <vertAlign val="baseline"/>
        <sz val="10"/>
        <color auto="1"/>
        <name val="Calibri"/>
        <scheme val="none"/>
      </font>
      <numFmt numFmtId="8" formatCode="#,##0.00_);[Red]\(#,##0.00\)"/>
      <fill>
        <patternFill patternType="none">
          <fgColor indexed="64"/>
          <bgColor auto="1"/>
        </patternFill>
      </fill>
      <alignment horizontal="right" vertical="bottom" textRotation="0" wrapText="0" indent="0" justifyLastLine="0" shrinkToFit="1" readingOrder="0"/>
    </dxf>
    <dxf>
      <font>
        <b/>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auto="1"/>
        </patternFill>
      </fill>
      <alignment horizontal="right" vertical="bottom" textRotation="0" wrapText="0" indent="0" justifyLastLine="0" shrinkToFit="1" readingOrder="0"/>
    </dxf>
    <dxf>
      <font>
        <strike val="0"/>
        <outline val="0"/>
        <shadow val="0"/>
        <u val="none"/>
        <vertAlign val="baseline"/>
        <sz val="10"/>
        <color auto="1"/>
        <name val="Calibri"/>
        <scheme val="none"/>
      </font>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bottom" textRotation="0" wrapText="0" indent="0" justifyLastLine="0" shrinkToFit="1" readingOrder="0"/>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bottom" textRotation="0" wrapText="0" indent="0" justifyLastLine="0" shrinkToFit="1" readingOrder="0"/>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19" formatCode="m/d/yyyy"/>
      <fill>
        <patternFill patternType="none">
          <fgColor indexed="64"/>
          <bgColor auto="1"/>
        </patternFill>
      </fill>
      <alignment horizontal="right" vertical="bottom" textRotation="0" wrapText="0" indent="0" justifyLastLine="0" shrinkToFit="1" readingOrder="0"/>
    </dxf>
    <dxf>
      <font>
        <strike val="0"/>
        <outline val="0"/>
        <shadow val="0"/>
        <u val="none"/>
        <vertAlign val="baseline"/>
        <sz val="10"/>
        <color auto="1"/>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family val="2"/>
        <scheme val="none"/>
      </font>
      <numFmt numFmtId="0" formatCode="General"/>
      <fill>
        <patternFill patternType="none">
          <fgColor indexed="64"/>
          <bgColor auto="1"/>
        </patternFill>
      </fill>
      <alignment horizontal="general" vertical="bottom" textRotation="0" wrapText="0" indent="0" justifyLastLine="0" shrinkToFit="1" readingOrder="0"/>
    </dxf>
    <dxf>
      <font>
        <strike val="0"/>
        <outline val="0"/>
        <shadow val="0"/>
        <u val="none"/>
        <vertAlign val="baseline"/>
        <sz val="10"/>
        <color rgb="FF000000"/>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numFmt numFmtId="164" formatCode="&quot;$&quot;#,##0.00"/>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10"/>
        <color theme="1"/>
        <name val="Corbel"/>
        <scheme val="minor"/>
      </font>
      <numFmt numFmtId="164" formatCode="&quot;$&quot;#,##0.00"/>
      <fill>
        <patternFill patternType="none">
          <fgColor indexed="64"/>
          <bgColor indexed="65"/>
        </patternFill>
      </fill>
      <border diagonalUp="0" diagonalDown="0" outline="0">
        <left/>
        <right/>
        <top/>
        <bottom/>
      </border>
    </dxf>
    <dxf>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orbel"/>
        <scheme val="minor"/>
      </font>
      <numFmt numFmtId="164" formatCode="&quot;$&quot;#,##0.00"/>
      <fill>
        <patternFill patternType="none">
          <fgColor indexed="64"/>
          <bgColor indexed="65"/>
        </patternFill>
      </fill>
      <border diagonalUp="0" diagonalDown="0" outline="0">
        <left/>
        <right/>
        <top/>
        <bottom/>
      </border>
    </dxf>
    <dxf>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orbel"/>
        <scheme val="minor"/>
      </font>
      <numFmt numFmtId="164" formatCode="&quot;$&quot;#,##0.00"/>
      <fill>
        <patternFill patternType="none">
          <fgColor indexed="64"/>
          <bgColor indexed="65"/>
        </patternFill>
      </fill>
      <border diagonalUp="0" diagonalDown="0" outline="0">
        <left/>
        <right/>
        <top/>
        <bottom/>
      </border>
    </dxf>
    <dxf>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border diagonalUp="0" diagonalDown="0" outline="0">
        <left/>
        <right/>
        <top/>
        <bottom/>
      </border>
    </dxf>
    <dxf>
      <alignment horizontal="left"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border diagonalUp="0" diagonalDown="0" outline="0">
        <left/>
        <right/>
        <top/>
        <bottom/>
      </border>
    </dxf>
    <dxf>
      <alignment horizontal="left"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border diagonalUp="0" diagonalDown="0" outline="0">
        <left/>
        <right/>
        <top/>
        <bottom/>
      </border>
    </dxf>
    <dxf>
      <numFmt numFmtId="171" formatCode="mm/dd/yyyy"/>
      <alignment horizontal="left" vertical="bottom" textRotation="0" wrapText="0" indent="0" justifyLastLine="0" shrinkToFit="0" readingOrder="0"/>
    </dxf>
    <dxf>
      <font>
        <b val="0"/>
        <i val="0"/>
        <strike val="0"/>
        <condense val="0"/>
        <extend val="0"/>
        <outline val="0"/>
        <shadow val="0"/>
        <u val="none"/>
        <vertAlign val="baseline"/>
        <sz val="10"/>
        <color theme="1"/>
        <name val="Corbel"/>
        <scheme val="minor"/>
      </font>
      <fill>
        <patternFill patternType="none">
          <fgColor indexed="64"/>
          <bgColor indexed="65"/>
        </patternFill>
      </fill>
      <border diagonalUp="0" diagonalDown="0" outline="0">
        <left/>
        <right/>
        <top/>
        <bottom/>
      </border>
    </dxf>
    <dxf>
      <alignment horizontal="left" vertical="bottom" textRotation="0" wrapText="0" indent="0" justifyLastLine="0" shrinkToFit="0" readingOrder="0"/>
    </dxf>
    <dxf>
      <font>
        <strike val="0"/>
        <outline val="0"/>
        <shadow val="0"/>
        <u val="none"/>
        <vertAlign val="baseline"/>
        <sz val="12"/>
        <color theme="1"/>
        <name val="Corbel"/>
        <scheme val="minor"/>
      </font>
      <alignment vertical="center" textRotation="0" wrapText="0" indent="0" justifyLastLine="0" shrinkToFit="0" readingOrder="0"/>
    </dxf>
    <dxf>
      <alignment horizontal="general" vertical="center" textRotation="0" wrapText="0" indent="0" justifyLastLine="0" shrinkToFit="0" readingOrder="0"/>
    </dxf>
    <dxf>
      <numFmt numFmtId="165" formatCode="_(\$* #,##0.00_);_(\$* \(#,##0.00\);_(\$* \-??_);_(@_)"/>
      <alignment horizontal="general" vertical="center" textRotation="0" wrapText="0" indent="0" justifyLastLine="0" shrinkToFit="0" readingOrder="0"/>
    </dxf>
    <dxf>
      <numFmt numFmtId="164" formatCode="&quot;$&quot;#,##0.00"/>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font>
        <strike val="0"/>
        <outline val="0"/>
        <shadow val="0"/>
        <u val="none"/>
        <vertAlign val="baseline"/>
        <color theme="1"/>
        <name val="Calibri"/>
        <scheme val="none"/>
      </font>
      <numFmt numFmtId="164" formatCode="&quot;$&quot;#,##0.00"/>
      <alignment horizontal="general" vertical="center" textRotation="0" wrapText="0" indent="0" justifyLastLine="0" shrinkToFit="0" readingOrder="0"/>
    </dxf>
    <dxf>
      <font>
        <strike val="0"/>
        <outline val="0"/>
        <shadow val="0"/>
        <u val="none"/>
        <vertAlign val="baseline"/>
        <color theme="1"/>
        <name val="Calibri"/>
        <scheme val="none"/>
      </font>
      <alignment horizontal="general" vertical="center" textRotation="0" wrapText="0" indent="0" justifyLastLine="0" shrinkToFit="0" readingOrder="0"/>
    </dxf>
    <dxf>
      <font>
        <strike val="0"/>
        <outline val="0"/>
        <shadow val="0"/>
        <u val="none"/>
        <vertAlign val="baseline"/>
        <color theme="1"/>
        <name val="Calibri"/>
        <scheme val="none"/>
      </font>
      <alignment horizontal="general" vertical="center" textRotation="0" wrapText="0" indent="0" justifyLastLine="0" shrinkToFit="0" readingOrder="0"/>
    </dxf>
    <dxf>
      <font>
        <strike val="0"/>
        <outline val="0"/>
        <shadow val="0"/>
        <u val="none"/>
        <vertAlign val="baseline"/>
        <color theme="1"/>
        <name val="Calibri"/>
        <scheme val="none"/>
      </font>
      <alignment horizontal="general" vertical="center" textRotation="0" wrapText="0" indent="0" justifyLastLine="0" shrinkToFit="0" readingOrder="0"/>
    </dxf>
    <dxf>
      <font>
        <b val="0"/>
        <i val="0"/>
        <strike val="0"/>
        <condense val="0"/>
        <extend val="0"/>
        <outline val="0"/>
        <shadow val="0"/>
        <u val="none"/>
        <vertAlign val="baseline"/>
        <sz val="10"/>
        <color rgb="FFFF0000"/>
        <name val="Calibri"/>
        <scheme val="none"/>
      </font>
      <numFmt numFmtId="19" formatCode="m/d/yyyy"/>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rgb="FFFF0000"/>
        <name val="Calibri"/>
        <scheme val="none"/>
      </font>
      <numFmt numFmtId="19" formatCode="m/d/yyyy"/>
      <alignment horizontal="right" textRotation="0" wrapText="0" indent="0" justifyLastLine="0" shrinkToFit="0" readingOrder="0"/>
    </dxf>
    <dxf>
      <font>
        <b val="0"/>
        <i val="0"/>
        <strike val="0"/>
        <condense val="0"/>
        <extend val="0"/>
        <outline val="0"/>
        <shadow val="0"/>
        <u val="none"/>
        <vertAlign val="baseline"/>
        <sz val="10"/>
        <color theme="1"/>
        <name val="Calibri"/>
        <scheme val="none"/>
      </font>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alibri"/>
        <scheme val="none"/>
      </font>
      <numFmt numFmtId="164" formatCode="&quot;$&quot;#,##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alibri"/>
        <scheme val="none"/>
      </font>
      <numFmt numFmtId="164" formatCode="&quot;$&quot;#,##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alibri"/>
        <scheme val="none"/>
      </font>
      <numFmt numFmtId="164" formatCode="&quot;$&quot;#,##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numFmt numFmtId="164" formatCode="&quot;$&quot;#,##0.00"/>
      <alignment horizontal="right" textRotation="0" wrapText="0" indent="0" justifyLastLine="0" shrinkToFit="0" readingOrder="0"/>
    </dxf>
    <dxf>
      <font>
        <b val="0"/>
        <i val="0"/>
        <strike val="0"/>
        <condense val="0"/>
        <extend val="0"/>
        <outline val="0"/>
        <shadow val="0"/>
        <u val="none"/>
        <vertAlign val="baseline"/>
        <sz val="10"/>
        <color theme="1"/>
        <name val="Calibri"/>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alignment horizontal="left" textRotation="0" wrapText="0" indent="0" justifyLastLine="0" shrinkToFit="0" readingOrder="0"/>
    </dxf>
    <dxf>
      <font>
        <b val="0"/>
        <i val="0"/>
        <strike val="0"/>
        <condense val="0"/>
        <extend val="0"/>
        <outline val="0"/>
        <shadow val="0"/>
        <u val="none"/>
        <vertAlign val="baseline"/>
        <sz val="10"/>
        <color theme="1"/>
        <name val="Calibri"/>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alignment horizontal="left" textRotation="0" wrapText="0" indent="0" justifyLastLine="0" shrinkToFit="0" readingOrder="0"/>
    </dxf>
    <dxf>
      <font>
        <b val="0"/>
        <i val="0"/>
        <strike val="0"/>
        <condense val="0"/>
        <extend val="0"/>
        <outline val="0"/>
        <shadow val="0"/>
        <u val="none"/>
        <vertAlign val="baseline"/>
        <sz val="10"/>
        <color theme="1"/>
        <name val="Calibri"/>
        <scheme val="none"/>
      </font>
      <numFmt numFmtId="19" formatCode="m/d/yyyy"/>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numFmt numFmtId="19" formatCode="m/d/yyyy"/>
      <alignment horizontal="left" vertical="bottom" textRotation="0" wrapText="0" indent="0" justifyLastLine="0" shrinkToFit="0" readingOrder="0"/>
    </dxf>
    <dxf>
      <font>
        <b val="0"/>
        <i val="0"/>
        <strike val="0"/>
        <condense val="0"/>
        <extend val="0"/>
        <outline val="0"/>
        <shadow val="0"/>
        <u val="none"/>
        <vertAlign val="baseline"/>
        <sz val="10"/>
        <color theme="1"/>
        <name val="Calibri"/>
        <scheme val="none"/>
      </font>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theme="1"/>
        <name val="Calibri"/>
        <scheme val="none"/>
      </font>
      <alignment horizontal="left" vertical="bottom" textRotation="0" wrapText="0" indent="0" justifyLastLine="0" shrinkToFit="0" readingOrder="0"/>
    </dxf>
    <dxf>
      <font>
        <strike val="0"/>
        <outline val="0"/>
        <shadow val="0"/>
        <u val="none"/>
        <vertAlign val="baseline"/>
        <color theme="1"/>
        <name val="Calibri"/>
        <scheme val="none"/>
      </font>
    </dxf>
    <dxf>
      <font>
        <strike val="0"/>
        <outline val="0"/>
        <shadow val="0"/>
        <u val="none"/>
        <vertAlign val="baseline"/>
        <color theme="1"/>
        <name val="Calibri"/>
        <scheme val="none"/>
      </font>
    </dxf>
    <dxf>
      <font>
        <strike val="0"/>
        <outline val="0"/>
        <shadow val="0"/>
        <u val="none"/>
        <vertAlign val="baseline"/>
        <sz val="12"/>
        <color theme="1"/>
        <name val="Calibri"/>
        <scheme val="none"/>
      </font>
      <alignment vertical="center" textRotation="0" wrapText="0" indent="0" justifyLastLine="0" shrinkToFit="0" readingOrder="0"/>
    </dxf>
    <dxf>
      <font>
        <strike val="0"/>
        <outline val="0"/>
        <shadow val="0"/>
        <u val="none"/>
        <vertAlign val="baseline"/>
        <sz val="10"/>
        <color auto="1"/>
        <name val="Corbel"/>
        <scheme val="minor"/>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orbel"/>
        <scheme val="minor"/>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orbel"/>
        <scheme val="minor"/>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orbel"/>
        <scheme val="minor"/>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orbel"/>
        <scheme val="minor"/>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color theme="1"/>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orbel"/>
        <scheme val="minor"/>
      </font>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color rgb="FF000000"/>
      </font>
      <numFmt numFmtId="0" formatCode="General"/>
      <fill>
        <patternFill patternType="none">
          <fgColor indexed="64"/>
          <bgColor auto="1"/>
        </patternFill>
      </fill>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rgb="FFFF0000"/>
        <name val="Corbel"/>
        <scheme val="minor"/>
      </font>
      <numFmt numFmtId="19" formatCode="m/d/yyyy"/>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0" formatCode="General"/>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0" formatCode="General"/>
      <fill>
        <patternFill patternType="none">
          <fgColor indexed="64"/>
          <bgColor auto="1"/>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Corbel"/>
        <scheme val="minor"/>
      </font>
      <numFmt numFmtId="35" formatCode="_(* #,##0.00_);_(* \(#,##0.00\);_(* &quot;-&quot;??_);_(@_)"/>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35" formatCode="_(* #,##0.00_);_(* \(#,##0.00\);_(* &quot;-&quot;??_);_(@_)"/>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orbel"/>
        <scheme val="minor"/>
      </font>
      <numFmt numFmtId="7" formatCode="#,##0.00_);\(#,##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orbel"/>
        <scheme val="minor"/>
      </font>
      <numFmt numFmtId="35" formatCode="_(* #,##0.00_);_(* \(#,##0.00\);_(* &quot;-&quot;??_);_(@_)"/>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0" formatCode="General"/>
      <fill>
        <patternFill patternType="none">
          <fgColor indexed="64"/>
          <bgColor auto="1"/>
        </patternFill>
      </fill>
      <alignment horizontal="left"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0" formatCode="General"/>
      <fill>
        <patternFill patternType="none">
          <fgColor indexed="64"/>
          <bgColor auto="1"/>
        </patternFill>
      </fill>
      <alignment horizontal="left"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19" formatCode="m/d/yyyy"/>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Corbel"/>
        <scheme val="minor"/>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orbel"/>
        <scheme val="minor"/>
      </font>
      <numFmt numFmtId="0" formatCode="General"/>
      <fill>
        <patternFill patternType="none">
          <fgColor indexed="64"/>
          <bgColor auto="1"/>
        </patternFill>
      </fill>
      <alignment horizontal="left" vertical="bottom" textRotation="0" wrapText="0" indent="0" justifyLastLine="0" shrinkToFit="0" readingOrder="0"/>
    </dxf>
    <dxf>
      <font>
        <strike val="0"/>
        <outline val="0"/>
        <shadow val="0"/>
        <u val="none"/>
        <vertAlign val="baseline"/>
        <color rgb="FF000000"/>
      </font>
      <numFmt numFmtId="0" formatCode="General"/>
      <fill>
        <patternFill patternType="none">
          <fgColor indexed="64"/>
          <bgColor auto="1"/>
        </patternFill>
      </fill>
    </dxf>
    <dxf>
      <font>
        <strike val="0"/>
        <outline val="0"/>
        <shadow val="0"/>
        <u val="none"/>
        <vertAlign val="baseline"/>
        <color rgb="FF000000"/>
      </font>
      <numFmt numFmtId="0" formatCode="General"/>
      <fill>
        <patternFill patternType="none">
          <fgColor indexed="64"/>
          <bgColor auto="1"/>
        </patternFill>
      </fill>
    </dxf>
    <dxf>
      <font>
        <strike val="0"/>
        <outline val="0"/>
        <shadow val="0"/>
        <u val="none"/>
        <vertAlign val="baseline"/>
        <sz val="12"/>
        <color theme="1"/>
        <name val="Corbel"/>
        <scheme val="minor"/>
      </font>
      <numFmt numFmtId="0" formatCode="General"/>
      <fill>
        <patternFill patternType="none">
          <fgColor indexed="64"/>
          <bgColor auto="1"/>
        </patternFill>
      </fill>
      <alignment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bgColor auto="1"/>
        </patternFill>
      </fill>
      <alignment horizontal="general" vertical="center" textRotation="0" wrapText="0" indent="0" justifyLastLine="0" shrinkToFit="0" readingOrder="0"/>
    </dxf>
    <dxf>
      <font>
        <strike val="0"/>
        <outline val="0"/>
        <shadow val="0"/>
        <u val="none"/>
        <vertAlign val="baseline"/>
        <color theme="1"/>
        <name val="Calibri"/>
        <scheme val="none"/>
      </font>
      <fill>
        <patternFill patternType="none">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dxf>
    <dxf>
      <font>
        <strike val="0"/>
        <outline val="0"/>
        <shadow val="0"/>
        <u val="none"/>
        <vertAlign val="baseline"/>
        <color rgb="FF000000"/>
        <name val="Calibri"/>
        <scheme val="none"/>
      </font>
      <numFmt numFmtId="0" formatCode="General"/>
      <fill>
        <patternFill patternType="none">
          <bgColor auto="1"/>
        </patternFill>
      </fill>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dxf>
    <dxf>
      <font>
        <strike val="0"/>
        <outline val="0"/>
        <shadow val="0"/>
        <u val="none"/>
        <vertAlign val="baseline"/>
        <color rgb="FF000000"/>
        <name val="Calibri"/>
        <scheme val="none"/>
      </font>
      <numFmt numFmtId="19" formatCode="m/d/yyyy"/>
      <fill>
        <patternFill patternType="none">
          <bgColor auto="1"/>
        </patternFill>
      </fill>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alibri"/>
        <scheme val="none"/>
      </font>
      <numFmt numFmtId="7" formatCode="#,##0.00_);\(#,##0.00\)"/>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fill>
        <patternFill patternType="none">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fill>
        <patternFill patternType="none">
          <bgColor auto="1"/>
        </patternFill>
      </fill>
      <alignment horizontal="right"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bgColor auto="1"/>
        </patternFill>
      </fill>
      <alignment horizontal="left"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bgColor auto="1"/>
        </patternFill>
      </fill>
      <alignment horizontal="left"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19" formatCode="m/d/yyyy"/>
      <fill>
        <patternFill patternType="none">
          <bgColor auto="1"/>
        </patternFill>
      </fill>
      <alignment horizontal="left" vertical="bottom"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bgColor auto="1"/>
        </patternFill>
      </fill>
      <alignment horizontal="left" vertical="bottom" textRotation="0" wrapText="0" indent="0" justifyLastLine="0" shrinkToFit="0" readingOrder="0"/>
    </dxf>
    <dxf>
      <font>
        <strike val="0"/>
        <outline val="0"/>
        <shadow val="0"/>
        <u val="none"/>
        <vertAlign val="baseline"/>
        <color rgb="FF000000"/>
        <name val="Calibri"/>
        <scheme val="none"/>
      </font>
      <numFmt numFmtId="0" formatCode="General"/>
      <fill>
        <patternFill patternType="none">
          <bgColor auto="1"/>
        </patternFill>
      </fill>
    </dxf>
    <dxf>
      <font>
        <strike val="0"/>
        <outline val="0"/>
        <shadow val="0"/>
        <u val="none"/>
        <vertAlign val="baseline"/>
        <color rgb="FF000000"/>
        <name val="Calibri"/>
        <scheme val="none"/>
      </font>
      <numFmt numFmtId="0" formatCode="General"/>
      <fill>
        <patternFill patternType="none">
          <bgColor auto="1"/>
        </patternFill>
      </fill>
    </dxf>
    <dxf>
      <font>
        <strike val="0"/>
        <outline val="0"/>
        <shadow val="0"/>
        <u val="none"/>
        <vertAlign val="baseline"/>
        <sz val="12"/>
        <color theme="1"/>
        <name val="Calibri"/>
        <scheme val="none"/>
      </font>
      <numFmt numFmtId="0" formatCode="General"/>
      <fill>
        <patternFill patternType="none">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color theme="1"/>
        <name val="Calibri"/>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alignment horizontal="general" vertical="bottom" textRotation="0" wrapText="0" indent="0" justifyLastLine="0" shrinkToFit="1" readingOrder="0"/>
    </dxf>
    <dxf>
      <font>
        <strike val="0"/>
        <outline val="0"/>
        <shadow val="0"/>
        <u val="none"/>
        <vertAlign val="baseline"/>
        <color rgb="FF000000"/>
        <name val="Calibri"/>
        <scheme val="none"/>
      </font>
      <numFmt numFmtId="0" formatCode="General"/>
      <fill>
        <patternFill patternType="none">
          <fgColor indexed="64"/>
          <bgColor auto="1"/>
        </patternFill>
      </fill>
      <alignment vertical="bottom" textRotation="0" wrapText="0" justifyLastLine="0" shrinkToFit="1"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alignment horizontal="general" vertical="bottom" textRotation="0" wrapText="0" indent="0" justifyLastLine="0" shrinkToFit="1" readingOrder="0"/>
    </dxf>
    <dxf>
      <font>
        <strike val="0"/>
        <outline val="0"/>
        <shadow val="0"/>
        <u val="none"/>
        <vertAlign val="baseline"/>
        <color rgb="FF000000"/>
        <name val="Calibri"/>
        <scheme val="none"/>
      </font>
      <fill>
        <patternFill patternType="none">
          <fgColor indexed="64"/>
          <bgColor auto="1"/>
        </patternFill>
      </fill>
      <alignment vertical="bottom" textRotation="0" wrapText="0" justifyLastLine="0" shrinkToFit="1" readingOrder="0"/>
    </dxf>
    <dxf>
      <font>
        <b val="0"/>
        <i val="0"/>
        <strike val="0"/>
        <condense val="0"/>
        <extend val="0"/>
        <outline val="0"/>
        <shadow val="0"/>
        <u val="none"/>
        <vertAlign val="baseline"/>
        <sz val="10"/>
        <color rgb="FF000000"/>
        <name val="Calibri"/>
        <scheme val="none"/>
      </font>
      <numFmt numFmtId="166" formatCode="m/d/yy;@"/>
      <fill>
        <patternFill patternType="none">
          <fgColor indexed="64"/>
          <bgColor indexed="65"/>
        </patternFill>
      </fill>
      <alignment horizontal="general" vertical="bottom" textRotation="0" wrapText="0" indent="0" justifyLastLine="0" shrinkToFit="1" readingOrder="0"/>
    </dxf>
    <dxf>
      <font>
        <strike val="0"/>
        <outline val="0"/>
        <shadow val="0"/>
        <u val="none"/>
        <vertAlign val="baseline"/>
        <color rgb="FF000000"/>
        <name val="Calibri"/>
        <scheme val="none"/>
      </font>
      <numFmt numFmtId="166" formatCode="m/d/yy;@"/>
      <fill>
        <patternFill patternType="none">
          <fgColor indexed="64"/>
          <bgColor auto="1"/>
        </patternFill>
      </fill>
      <alignment vertical="bottom" textRotation="0" wrapTex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righ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righ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righ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lef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left"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166" formatCode="m/d/yy;@"/>
      <fill>
        <patternFill patternType="none">
          <fgColor indexed="64"/>
          <bgColor indexed="65"/>
        </patternFill>
      </fill>
      <alignment horizontal="right" vertical="bottom" textRotation="0" wrapText="0" indent="0" justifyLastLine="0" shrinkToFit="0" readingOrder="0"/>
      <border diagonalUp="0" diagonalDown="0" outline="0">
        <left/>
        <right/>
        <top/>
        <bottom/>
      </border>
    </dxf>
    <dxf>
      <font>
        <strike val="0"/>
        <outline val="0"/>
        <shadow val="0"/>
        <u val="none"/>
        <vertAlign val="baseline"/>
        <sz val="10"/>
        <color auto="1"/>
        <name val="Calibri"/>
        <scheme val="none"/>
      </font>
      <numFmt numFmtId="166" formatCode="m/d/yy;@"/>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0" formatCode="@"/>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color rgb="FF000000"/>
        <name val="Calibri"/>
        <scheme val="none"/>
      </font>
      <numFmt numFmtId="0" formatCode="General"/>
      <fill>
        <patternFill patternType="none">
          <fgColor indexed="64"/>
          <bgColor auto="1"/>
        </patternFill>
      </fill>
    </dxf>
    <dxf>
      <font>
        <strike val="0"/>
        <outline val="0"/>
        <shadow val="0"/>
        <u val="none"/>
        <vertAlign val="baseline"/>
        <color rgb="FF000000"/>
        <name val="Calibri"/>
        <scheme val="none"/>
      </font>
      <numFmt numFmtId="0" formatCode="General"/>
      <fill>
        <patternFill patternType="none">
          <fgColor indexed="64"/>
          <bgColor auto="1"/>
        </patternFill>
      </fill>
    </dxf>
    <dxf>
      <border>
        <bottom style="thin">
          <color indexed="64"/>
        </bottom>
      </border>
    </dxf>
    <dxf>
      <font>
        <strike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left" vertical="center" textRotation="0" wrapText="0" relative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left" vertical="center" textRotation="0" wrapText="0" relative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left" vertical="center" textRotation="0" wrapText="0" relative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Calibri"/>
        <scheme val="none"/>
      </font>
      <fill>
        <patternFill patternType="none">
          <fgColor indexed="64"/>
          <bgColor indexed="65"/>
        </patternFill>
      </fill>
      <alignment horizontal="left" vertical="center" textRotation="0" wrapText="0" relative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name val="Calibri"/>
        <scheme val="none"/>
      </font>
      <fill>
        <patternFill>
          <fgColor indexed="64"/>
        </patternFill>
      </fill>
      <alignment horizontal="left" vertical="center" textRotation="0" indent="0" justifyLastLine="0" readingOrder="0"/>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0" indent="0" justifyLastLine="0" shrinkToFit="0" readingOrder="0"/>
    </dxf>
    <dxf>
      <font>
        <strike val="0"/>
        <outline val="0"/>
        <shadow val="0"/>
        <u val="none"/>
        <vertAlign val="baseline"/>
        <color theme="1"/>
        <name val="Calibri"/>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rgb="FF000000"/>
        <name val="Calibri"/>
        <scheme val="none"/>
      </font>
      <numFmt numFmtId="166" formatCode="m/d/yy;@"/>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numFmt numFmtId="19" formatCode="m/d/yyyy"/>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rgb="FF000000"/>
        <name val="Calibri"/>
        <scheme val="none"/>
      </font>
      <numFmt numFmtId="35" formatCode="_(* #,##0.00_);_(* \(#,##0.00\);_(* &quot;-&quot;??_);_(@_)"/>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rgb="FF000000"/>
        <name val="Calibri"/>
        <scheme val="none"/>
      </font>
      <numFmt numFmtId="166" formatCode="m/d/yy;@"/>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numFmt numFmtId="166" formatCode="m/d/yy;@"/>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auto="1"/>
        <name val="Calibri"/>
        <scheme val="none"/>
      </font>
      <numFmt numFmtId="7" formatCode="#,##0.00_);\(#,##0.00\)"/>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auto="1"/>
        <name val="Calibri"/>
        <scheme val="none"/>
      </font>
      <numFmt numFmtId="166" formatCode="m/d/yy;@"/>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166" formatCode="m/d/yy;@"/>
      <fill>
        <patternFill patternType="none">
          <fgColor indexed="64"/>
          <bgColor auto="1"/>
        </patternFill>
      </fill>
      <alignment horizontal="left" vertical="center" textRotation="0" wrapText="0" indent="0" justifyLastLine="0" shrinkToFit="1"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alignment horizontal="left" vertical="center"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numFmt numFmtId="0" formatCode="General"/>
      <fill>
        <patternFill patternType="none">
          <fgColor indexed="64"/>
          <bgColor auto="1"/>
        </patternFill>
      </fill>
      <alignment horizontal="left" vertical="center" textRotation="0" wrapText="0" indent="0" justifyLastLine="0" shrinkToFit="1" readingOrder="0"/>
    </dxf>
    <dxf>
      <font>
        <strike val="0"/>
        <outline val="0"/>
        <shadow val="0"/>
        <u val="none"/>
        <vertAlign val="baseline"/>
        <color rgb="FF000000"/>
        <name val="Calibri"/>
        <scheme val="none"/>
      </font>
      <numFmt numFmtId="0" formatCode="General"/>
      <fill>
        <patternFill patternType="none">
          <fgColor indexed="64"/>
          <bgColor auto="1"/>
        </patternFill>
      </fill>
      <alignment horizontal="left" vertical="center" textRotation="0" indent="0" justifyLastLine="0" readingOrder="0"/>
    </dxf>
    <dxf>
      <font>
        <strike val="0"/>
        <outline val="0"/>
        <shadow val="0"/>
        <u val="none"/>
        <vertAlign val="baseline"/>
        <color rgb="FF000000"/>
        <name val="Calibri"/>
        <scheme val="none"/>
      </font>
      <numFmt numFmtId="0" formatCode="General"/>
      <fill>
        <patternFill patternType="none">
          <fgColor indexed="64"/>
          <bgColor auto="1"/>
        </patternFill>
      </fill>
      <alignment horizontal="left" vertical="center" textRotation="0" indent="0" justifyLastLine="0" readingOrder="0"/>
    </dxf>
    <dxf>
      <font>
        <strike val="0"/>
        <outline val="0"/>
        <shadow val="0"/>
        <u val="none"/>
        <vertAlign val="baseline"/>
        <sz val="10"/>
        <color theme="1"/>
        <name val="Calibri"/>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rgb="FF000000"/>
          <bgColor auto="1"/>
        </patternFill>
      </fill>
      <alignment horizontal="general" vertical="center" textRotation="0" wrapText="0" indent="0" justifyLastLine="0" shrinkToFit="0" readingOrder="0"/>
    </dxf>
    <dxf>
      <font>
        <strike val="0"/>
        <outline val="0"/>
        <shadow val="0"/>
        <u val="none"/>
        <vertAlign val="baseline"/>
        <color theme="1"/>
        <name val="Calibri"/>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alibri"/>
        <scheme val="none"/>
      </font>
      <numFmt numFmtId="166" formatCode="m/d/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scheme val="none"/>
      </font>
      <numFmt numFmtId="35" formatCode="_(* #,##0.00_);_(* \(#,##0.00\);_(* &quot;-&quot;??_);_(@_)"/>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scheme val="none"/>
      </font>
      <numFmt numFmtId="166" formatCode="m/d/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numFmt numFmtId="166" formatCode="m/d/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7" formatCode="#,##0.00_);\(#,##0.00\)"/>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scheme val="none"/>
      </font>
      <numFmt numFmtId="166" formatCode="m/d/yy;@"/>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166" formatCode="m/d/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scheme val="none"/>
      </font>
      <numFmt numFmtId="0" formatCode="General"/>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color rgb="FF000000"/>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color rgb="FF000000"/>
        <name val="Calibri"/>
        <scheme val="none"/>
      </font>
      <numFmt numFmtId="0" formatCode="General"/>
      <fill>
        <patternFill patternType="none">
          <fgColor rgb="FF000000"/>
          <bgColor auto="1"/>
        </patternFill>
      </fill>
    </dxf>
    <dxf>
      <font>
        <strike val="0"/>
        <outline val="0"/>
        <shadow val="0"/>
        <u val="none"/>
        <vertAlign val="baseline"/>
        <color rgb="FF000000"/>
        <name val="Calibri"/>
        <scheme val="none"/>
      </font>
      <numFmt numFmtId="0" formatCode="General"/>
      <fill>
        <patternFill patternType="none">
          <fgColor rgb="FF000000"/>
          <bgColor auto="1"/>
        </patternFill>
      </fill>
      <alignment horizontal="center" vertical="bottom" textRotation="0" wrapText="0" indent="0" justifyLastLine="0" readingOrder="0"/>
    </dxf>
    <dxf>
      <font>
        <strike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name val="Calibri"/>
        <scheme val="none"/>
      </font>
    </dxf>
    <dxf>
      <font>
        <strike val="0"/>
        <outline val="0"/>
        <shadow val="0"/>
        <u val="none"/>
        <vertAlign val="baseline"/>
        <sz val="10"/>
        <color auto="1"/>
        <name val="Calibri"/>
        <scheme val="none"/>
      </font>
      <fill>
        <patternFill patternType="none">
          <fgColor rgb="FF000000"/>
          <bgColor auto="1"/>
        </patternFill>
      </fill>
      <alignment horizontal="general" vertical="center" textRotation="0" wrapText="0" indent="0" justifyLastLine="0" shrinkToFit="0" readingOrder="0"/>
    </dxf>
    <dxf>
      <font>
        <strike val="0"/>
        <outline val="0"/>
        <shadow val="0"/>
        <u val="none"/>
        <vertAlign val="baseline"/>
        <sz val="10"/>
        <color theme="1"/>
        <name val="Calibri"/>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alibri"/>
        <family val="2"/>
        <scheme val="none"/>
      </font>
      <numFmt numFmtId="19" formatCode="m/d/yy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sz val="10"/>
        <color rgb="FF000000"/>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family val="2"/>
        <scheme val="none"/>
      </font>
      <numFmt numFmtId="35" formatCode="_(* #,##0.00_);_(* \(#,##0.00\);_(* &quot;-&quot;??_);_(@_)"/>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sz val="10"/>
        <color rgb="FF000000"/>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family val="2"/>
        <scheme val="none"/>
      </font>
      <numFmt numFmtId="19" formatCode="m/d/yy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sz val="10"/>
        <color rgb="FF000000"/>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19" formatCode="m/d/yyyy"/>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family val="2"/>
        <scheme val="none"/>
      </font>
      <numFmt numFmtId="0" formatCode="General"/>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sz val="10"/>
        <color rgb="FF000000"/>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rgb="FF000000"/>
        <name val="Calibri"/>
        <scheme val="none"/>
      </font>
      <numFmt numFmtId="0" formatCode="General"/>
      <fill>
        <patternFill patternType="none">
          <fgColor rgb="FF000000"/>
          <bgColor auto="1"/>
        </patternFill>
      </fill>
    </dxf>
    <dxf>
      <font>
        <strike val="0"/>
        <outline val="0"/>
        <shadow val="0"/>
        <u val="none"/>
        <vertAlign val="baseline"/>
        <sz val="10"/>
        <color rgb="FF000000"/>
        <name val="Calibri"/>
        <scheme val="none"/>
      </font>
      <numFmt numFmtId="0" formatCode="General"/>
      <fill>
        <patternFill patternType="none">
          <fgColor rgb="FF000000"/>
          <bgColor auto="1"/>
        </patternFill>
      </fill>
      <alignment horizontal="center" vertical="bottom" textRotation="0" wrapText="0" indent="0" justifyLastLine="0" readingOrder="0"/>
    </dxf>
    <dxf>
      <font>
        <strike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numFmt numFmtId="164" formatCode="&quot;$&quot;#,##0.00"/>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numFmt numFmtId="164" formatCode="&quot;$&quot;#,##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Calibri"/>
        <family val="2"/>
        <scheme val="none"/>
      </font>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0"/>
        <color auto="1"/>
        <name val="Calibri"/>
        <scheme val="none"/>
      </font>
      <fill>
        <patternFill patternType="none">
          <fgColor indexed="64"/>
          <bgColor auto="1"/>
        </patternFill>
      </fill>
      <alignment horizontal="general" vertical="center" textRotation="0" wrapText="0" indent="0" justifyLastLine="0" shrinkToFit="0" readingOrder="0"/>
    </dxf>
    <dxf>
      <font>
        <strike val="0"/>
        <outline val="0"/>
        <shadow val="0"/>
        <u val="none"/>
        <vertAlign val="baseline"/>
        <sz val="10"/>
        <name val="Calibri"/>
        <scheme val="none"/>
      </font>
    </dxf>
    <dxf>
      <font>
        <strike val="0"/>
        <outline val="0"/>
        <shadow val="0"/>
        <u val="none"/>
        <vertAlign val="baseline"/>
        <sz val="10"/>
        <color auto="1"/>
        <name val="Calibri"/>
        <scheme val="none"/>
      </font>
      <fill>
        <patternFill patternType="none">
          <fgColor rgb="FF000000"/>
          <bgColor auto="1"/>
        </patternFill>
      </fill>
      <alignment horizontal="general" vertical="center" textRotation="0" wrapText="0" indent="0" justifyLastLine="0" shrinkToFit="0" readingOrder="0"/>
    </dxf>
    <dxf>
      <font>
        <strike val="0"/>
        <outline val="0"/>
        <shadow val="0"/>
        <u val="none"/>
        <vertAlign val="baseline"/>
        <sz val="10"/>
        <color theme="1"/>
        <name val="Calibri"/>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0"/>
        <color rgb="FF000000"/>
        <name val="Calibri"/>
        <family val="2"/>
        <scheme val="none"/>
      </font>
      <numFmt numFmtId="19" formatCode="m/d/yy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sz val="10"/>
        <color rgb="FF000000"/>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family val="2"/>
        <scheme val="none"/>
      </font>
      <numFmt numFmtId="35" formatCode="_(* #,##0.00_);_(* \(#,##0.00\);_(* &quot;-&quot;??_);_(@_)"/>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sz val="10"/>
        <color rgb="FF000000"/>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family val="2"/>
        <scheme val="none"/>
      </font>
      <numFmt numFmtId="19" formatCode="m/d/yyyy"/>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sz val="10"/>
        <color rgb="FF000000"/>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35" formatCode="_(* #,##0.00_);_(* \(#,##0.00\);_(* &quot;-&quot;??_);_(@_)"/>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35" formatCode="_(* #,##0.00_);_(* \(#,##0.00\);_(* &quot;-&quot;??_);_(@_)"/>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b val="0"/>
        <i val="0"/>
        <strike val="0"/>
        <condense val="0"/>
        <extend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indexed="65"/>
        </patternFill>
      </fill>
      <alignment horizontal="lef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auto="1"/>
        <name val="Calibri"/>
        <family val="2"/>
        <scheme val="none"/>
      </font>
      <numFmt numFmtId="19" formatCode="m/d/yyyy"/>
      <fill>
        <patternFill patternType="none">
          <fgColor indexed="64"/>
          <bgColor indexed="65"/>
        </patternFill>
      </fill>
      <alignment horizontal="right" vertical="bottom" textRotation="0" wrapText="0" indent="0" justifyLastLine="0" shrinkToFit="1" readingOrder="0"/>
      <border diagonalUp="0" diagonalDown="0" outline="0">
        <left/>
        <right/>
        <top/>
        <bottom/>
      </border>
    </dxf>
    <dxf>
      <font>
        <strike val="0"/>
        <outline val="0"/>
        <shadow val="0"/>
        <u val="none"/>
        <vertAlign val="baseline"/>
        <sz val="10"/>
        <color auto="1"/>
        <name val="Calibri"/>
        <scheme val="none"/>
      </font>
      <numFmt numFmtId="19" formatCode="m/d/yyyy"/>
      <fill>
        <patternFill patternType="none">
          <fgColor indexed="64"/>
          <bgColor auto="1"/>
        </patternFill>
      </fill>
      <alignment horizontal="center" vertical="bottom" textRotation="0" wrapText="0" indent="0" justifyLastLine="0" shrinkToFit="1" readingOrder="0"/>
    </dxf>
    <dxf>
      <font>
        <b val="0"/>
        <i val="0"/>
        <strike val="0"/>
        <condense val="0"/>
        <extend val="0"/>
        <outline val="0"/>
        <shadow val="0"/>
        <u val="none"/>
        <vertAlign val="baseline"/>
        <sz val="10"/>
        <color rgb="FF000000"/>
        <name val="Calibri"/>
        <family val="2"/>
        <scheme val="none"/>
      </font>
      <numFmt numFmtId="0" formatCode="General"/>
      <fill>
        <patternFill patternType="none">
          <fgColor indexed="64"/>
          <bgColor indexed="65"/>
        </patternFill>
      </fill>
      <alignment horizontal="general" vertical="bottom" textRotation="0" wrapText="0" indent="0" justifyLastLine="0" shrinkToFit="1" readingOrder="0"/>
      <border diagonalUp="0" diagonalDown="0" outline="0">
        <left/>
        <right/>
        <top/>
        <bottom/>
      </border>
    </dxf>
    <dxf>
      <font>
        <strike val="0"/>
        <outline val="0"/>
        <shadow val="0"/>
        <u val="none"/>
        <vertAlign val="baseline"/>
        <sz val="10"/>
        <color rgb="FF000000"/>
        <name val="Calibri"/>
        <scheme val="none"/>
      </font>
      <numFmt numFmtId="0" formatCode="General"/>
      <fill>
        <patternFill patternType="none">
          <fgColor indexed="64"/>
          <bgColor auto="1"/>
        </patternFill>
      </fill>
      <alignment horizontal="center" vertical="bottom" textRotation="0" wrapText="0" indent="0" justifyLastLine="0" shrinkToFit="1" readingOrder="0"/>
    </dxf>
    <dxf>
      <font>
        <strike val="0"/>
        <outline val="0"/>
        <shadow val="0"/>
        <u val="none"/>
        <vertAlign val="baseline"/>
        <sz val="10"/>
        <color rgb="FF000000"/>
        <name val="Calibri"/>
        <scheme val="none"/>
      </font>
      <numFmt numFmtId="0" formatCode="General"/>
      <fill>
        <patternFill patternType="none">
          <fgColor rgb="FF000000"/>
          <bgColor auto="1"/>
        </patternFill>
      </fill>
    </dxf>
    <dxf>
      <font>
        <strike val="0"/>
        <outline val="0"/>
        <shadow val="0"/>
        <u val="none"/>
        <vertAlign val="baseline"/>
        <sz val="10"/>
        <color rgb="FF000000"/>
        <name val="Calibri"/>
        <scheme val="none"/>
      </font>
      <numFmt numFmtId="0" formatCode="General"/>
      <fill>
        <patternFill patternType="none">
          <fgColor rgb="FF000000"/>
          <bgColor auto="1"/>
        </patternFill>
      </fill>
      <alignment horizontal="center" vertical="bottom" textRotation="0" wrapText="0" indent="0" justifyLastLine="0" readingOrder="0"/>
    </dxf>
    <dxf>
      <font>
        <strike val="0"/>
        <outline val="0"/>
        <shadow val="0"/>
        <u val="none"/>
        <vertAlign val="baseline"/>
        <sz val="10"/>
        <color theme="1"/>
        <name val="Calibri"/>
        <scheme val="none"/>
      </font>
      <numFmt numFmtId="0" formatCode="General"/>
      <fill>
        <patternFill patternType="none">
          <fgColor indexed="64"/>
          <bgColor auto="1"/>
        </patternFill>
      </fill>
      <alignment horizontal="center" vertical="center" textRotation="0" wrapText="0" indent="0" justifyLastLine="0" shrinkToFit="0" readingOrder="0"/>
    </dxf>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tint="0.499984740745262"/>
      </font>
      <border>
        <left style="thin">
          <color theme="4"/>
        </left>
        <right style="thin">
          <color theme="4"/>
        </right>
        <top style="thin">
          <color theme="4"/>
        </top>
        <bottom style="thin">
          <color theme="4"/>
        </bottom>
      </border>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4" tint="-0.249977111117893"/>
      </font>
    </dxf>
    <dxf>
      <font>
        <b/>
        <color theme="4" tint="-0.249977111117893"/>
      </font>
    </dxf>
    <dxf>
      <font>
        <b/>
        <color theme="4" tint="-0.249977111117893"/>
      </font>
      <border>
        <top style="thin">
          <color theme="4"/>
        </top>
      </border>
    </dxf>
    <dxf>
      <font>
        <b val="0"/>
        <i val="0"/>
        <color theme="0"/>
      </font>
      <fill>
        <gradientFill degree="90">
          <stop position="0">
            <color theme="4"/>
          </stop>
          <stop position="1">
            <color theme="4" tint="-0.25098422193060094"/>
          </stop>
        </gradientFill>
      </fill>
      <border>
        <bottom style="thin">
          <color theme="4"/>
        </bottom>
      </border>
    </dxf>
    <dxf>
      <font>
        <b val="0"/>
        <i val="0"/>
        <color theme="4" tint="-0.249977111117893"/>
      </font>
      <border>
        <top style="thin">
          <color theme="4"/>
        </top>
        <bottom style="thin">
          <color theme="4"/>
        </bottom>
      </border>
    </dxf>
  </dxfs>
  <tableStyles count="2" defaultTableStyle="TableStyleMedium2" defaultPivotStyle="PivotStyleLight16">
    <tableStyle name="CheckRegister" pivot="0" count="7" xr9:uid="{00000000-0011-0000-FFFF-FFFF00000000}">
      <tableStyleElement type="wholeTable" dxfId="542"/>
      <tableStyleElement type="headerRow" dxfId="541"/>
      <tableStyleElement type="totalRow" dxfId="540"/>
      <tableStyleElement type="firstColumn" dxfId="539"/>
      <tableStyleElement type="lastColumn" dxfId="538"/>
      <tableStyleElement type="firstRowStripe" dxfId="537"/>
      <tableStyleElement type="firstColumnStripe" dxfId="536"/>
    </tableStyle>
    <tableStyle name="CheckRegisterSummary" pivot="0" count="9" xr9:uid="{00000000-0011-0000-FFFF-FFFF01000000}">
      <tableStyleElement type="wholeTable" dxfId="535"/>
      <tableStyleElement type="headerRow" dxfId="534"/>
      <tableStyleElement type="totalRow" dxfId="533"/>
      <tableStyleElement type="firstColumn" dxfId="532"/>
      <tableStyleElement type="lastColumn" dxfId="531"/>
      <tableStyleElement type="firstRowStripe" dxfId="530"/>
      <tableStyleElement type="secondRowStripe" dxfId="529"/>
      <tableStyleElement type="firstColumnStripe" dxfId="528"/>
      <tableStyleElement type="secondColumnStripe" dxfId="527"/>
    </tableStyle>
  </tableStyles>
  <colors>
    <mruColors>
      <color rgb="FFF8FA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ivotFmts>
      <c:pivotFmt>
        <c:idx val="0"/>
        <c:marker>
          <c:symbol val="none"/>
        </c:marker>
        <c:dLbl>
          <c:idx val="0"/>
          <c:spPr/>
          <c:txPr>
            <a:bodyPr/>
            <a:lstStyle/>
            <a:p>
              <a:pPr>
                <a:defRPr>
                  <a:solidFill>
                    <a:schemeClr val="tx1">
                      <a:lumMod val="95000"/>
                      <a:lumOff val="5000"/>
                    </a:schemeClr>
                  </a:solidFill>
                </a:defRPr>
              </a:pPr>
              <a:endParaRPr lang="en-US"/>
            </a:p>
          </c:txPr>
          <c:showLegendKey val="0"/>
          <c:showVal val="0"/>
          <c:showCatName val="0"/>
          <c:showSerName val="0"/>
          <c:showPercent val="1"/>
          <c:showBubbleSize val="0"/>
          <c:extLst>
            <c:ext xmlns:c15="http://schemas.microsoft.com/office/drawing/2012/chart" uri="{CE6537A1-D6FC-4f65-9D91-7224C49458BB}"/>
          </c:extLst>
        </c:dLbl>
      </c:pivotFmt>
    </c:pivotFmts>
    <c:plotArea>
      <c:layout>
        <c:manualLayout>
          <c:layoutTarget val="inner"/>
          <c:xMode val="edge"/>
          <c:yMode val="edge"/>
          <c:x val="9.5344681179558438E-2"/>
          <c:y val="0.28237908263768685"/>
          <c:w val="0.47208159641809477"/>
          <c:h val="0.57971180042734161"/>
        </c:manualLayout>
      </c:layout>
      <c:pieChart>
        <c:varyColors val="1"/>
        <c:ser>
          <c:idx val="0"/>
          <c:order val="0"/>
          <c:tx>
            <c:v>Item</c:v>
          </c:tx>
          <c:dLbls>
            <c:spPr>
              <a:noFill/>
              <a:ln>
                <a:noFill/>
              </a:ln>
              <a:effectLst/>
            </c:spPr>
            <c:txPr>
              <a:bodyPr/>
              <a:lstStyle/>
              <a:p>
                <a:pPr>
                  <a:defRPr>
                    <a:solidFill>
                      <a:schemeClr val="tx1">
                        <a:lumMod val="95000"/>
                        <a:lumOff val="5000"/>
                      </a:schemeClr>
                    </a:solidFill>
                  </a:defRPr>
                </a:pPr>
                <a:endParaRPr lang="en-US"/>
              </a:p>
            </c:txPr>
            <c:dLblPos val="outEnd"/>
            <c:showLegendKey val="0"/>
            <c:showVal val="0"/>
            <c:showCatName val="0"/>
            <c:showSerName val="0"/>
            <c:showPercent val="1"/>
            <c:showBubbleSize val="0"/>
            <c:showLeaderLines val="1"/>
            <c:extLst>
              <c:ext xmlns:c15="http://schemas.microsoft.com/office/drawing/2012/chart" uri="{CE6537A1-D6FC-4f65-9D91-7224C49458BB}"/>
            </c:extLst>
          </c:dLbls>
          <c:cat>
            <c:strRef>
              <c:f>Sample!$B$18:$B$28</c:f>
              <c:strCache>
                <c:ptCount val="7"/>
                <c:pt idx="0">
                  <c:v>Credit Card</c:v>
                </c:pt>
                <c:pt idx="1">
                  <c:v>Investment</c:v>
                </c:pt>
                <c:pt idx="2">
                  <c:v>Groceries</c:v>
                </c:pt>
                <c:pt idx="3">
                  <c:v>Utilities</c:v>
                </c:pt>
                <c:pt idx="4">
                  <c:v>Insurance</c:v>
                </c:pt>
                <c:pt idx="5">
                  <c:v>Mortgage</c:v>
                </c:pt>
                <c:pt idx="6">
                  <c:v>Other</c:v>
                </c:pt>
              </c:strCache>
            </c:strRef>
          </c:cat>
          <c:val>
            <c:numRef>
              <c:f>Sample!$C$18:$C$24</c:f>
              <c:numCache>
                <c:formatCode>"$"#,##0.00</c:formatCode>
                <c:ptCount val="7"/>
                <c:pt idx="0">
                  <c:v>936.48</c:v>
                </c:pt>
                <c:pt idx="1">
                  <c:v>200</c:v>
                </c:pt>
                <c:pt idx="2">
                  <c:v>205.61</c:v>
                </c:pt>
                <c:pt idx="3">
                  <c:v>194.20000000000002</c:v>
                </c:pt>
                <c:pt idx="4">
                  <c:v>0</c:v>
                </c:pt>
                <c:pt idx="5">
                  <c:v>961.77</c:v>
                </c:pt>
                <c:pt idx="6">
                  <c:v>53.65</c:v>
                </c:pt>
              </c:numCache>
            </c:numRef>
          </c:val>
          <c:extLst>
            <c:ext xmlns:c16="http://schemas.microsoft.com/office/drawing/2014/chart" uri="{C3380CC4-5D6E-409C-BE32-E72D297353CC}">
              <c16:uniqueId val="{00000000-6260-40B9-8722-0FA51E1B2A68}"/>
            </c:ext>
          </c:extLst>
        </c:ser>
        <c:dLbls>
          <c:showLegendKey val="0"/>
          <c:showVal val="0"/>
          <c:showCatName val="0"/>
          <c:showSerName val="0"/>
          <c:showPercent val="1"/>
          <c:showBubbleSize val="0"/>
          <c:showLeaderLines val="1"/>
        </c:dLbls>
        <c:firstSliceAng val="0"/>
      </c:pieChart>
    </c:plotArea>
    <c:legend>
      <c:legendPos val="r"/>
      <c:layout>
        <c:manualLayout>
          <c:xMode val="edge"/>
          <c:yMode val="edge"/>
          <c:x val="0.66277095877721171"/>
          <c:y val="0.22737260805351051"/>
          <c:w val="0.33308862127528194"/>
          <c:h val="0.69225912745735574"/>
        </c:manualLayout>
      </c:layout>
      <c:overlay val="0"/>
      <c:txPr>
        <a:bodyPr/>
        <a:lstStyle/>
        <a:p>
          <a:pPr rtl="0">
            <a:defRPr>
              <a:solidFill>
                <a:schemeClr val="bg1">
                  <a:lumMod val="50000"/>
                </a:schemeClr>
              </a:solidFill>
            </a:defRPr>
          </a:pPr>
          <a:endParaRPr lang="en-US"/>
        </a:p>
      </c:txPr>
    </c:legend>
    <c:plotVisOnly val="1"/>
    <c:dispBlanksAs val="zero"/>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1.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2</xdr:col>
      <xdr:colOff>878206</xdr:colOff>
      <xdr:row>13</xdr:row>
      <xdr:rowOff>5162</xdr:rowOff>
    </xdr:from>
    <xdr:to>
      <xdr:col>3</xdr:col>
      <xdr:colOff>323851</xdr:colOff>
      <xdr:row>14</xdr:row>
      <xdr:rowOff>162180</xdr:rowOff>
    </xdr:to>
    <xdr:pic>
      <xdr:nvPicPr>
        <xdr:cNvPr id="2" name="Picture 1">
          <a:extLst>
            <a:ext uri="{FF2B5EF4-FFF2-40B4-BE49-F238E27FC236}">
              <a16:creationId xmlns:a16="http://schemas.microsoft.com/office/drawing/2014/main" id="{C6551E5A-59F4-4503-8F5F-D7C930B27D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65146" y="2527382"/>
          <a:ext cx="360045" cy="3398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878206</xdr:colOff>
      <xdr:row>13</xdr:row>
      <xdr:rowOff>5162</xdr:rowOff>
    </xdr:from>
    <xdr:to>
      <xdr:col>3</xdr:col>
      <xdr:colOff>323851</xdr:colOff>
      <xdr:row>14</xdr:row>
      <xdr:rowOff>162180</xdr:rowOff>
    </xdr:to>
    <xdr:pic>
      <xdr:nvPicPr>
        <xdr:cNvPr id="3" name="Picture 2">
          <a:extLst>
            <a:ext uri="{FF2B5EF4-FFF2-40B4-BE49-F238E27FC236}">
              <a16:creationId xmlns:a16="http://schemas.microsoft.com/office/drawing/2014/main" id="{C56C2166-267D-47D5-A0D4-513C15BB4E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02281" y="2472137"/>
          <a:ext cx="331470" cy="337993"/>
        </a:xfrm>
        <a:prstGeom prst="rect">
          <a:avLst/>
        </a:prstGeom>
      </xdr:spPr>
    </xdr:pic>
    <xdr:clientData/>
  </xdr:twoCellAnchor>
  <xdr:twoCellAnchor>
    <xdr:from>
      <xdr:col>1</xdr:col>
      <xdr:colOff>1729740</xdr:colOff>
      <xdr:row>75</xdr:row>
      <xdr:rowOff>91440</xdr:rowOff>
    </xdr:from>
    <xdr:to>
      <xdr:col>2</xdr:col>
      <xdr:colOff>243840</xdr:colOff>
      <xdr:row>78</xdr:row>
      <xdr:rowOff>68580</xdr:rowOff>
    </xdr:to>
    <xdr:cxnSp macro="">
      <xdr:nvCxnSpPr>
        <xdr:cNvPr id="4" name="Straight Arrow Connector 3">
          <a:extLst>
            <a:ext uri="{FF2B5EF4-FFF2-40B4-BE49-F238E27FC236}">
              <a16:creationId xmlns:a16="http://schemas.microsoft.com/office/drawing/2014/main" id="{A5CECA60-C6BD-496C-828D-1200F05BC265}"/>
            </a:ext>
          </a:extLst>
        </xdr:cNvPr>
        <xdr:cNvCxnSpPr/>
      </xdr:nvCxnSpPr>
      <xdr:spPr>
        <a:xfrm flipV="1">
          <a:off x="2103120" y="13479780"/>
          <a:ext cx="327660" cy="510540"/>
        </a:xfrm>
        <a:prstGeom prst="straightConnector1">
          <a:avLst/>
        </a:prstGeom>
        <a:ln>
          <a:solidFill>
            <a:schemeClr val="accent2"/>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906780</xdr:colOff>
      <xdr:row>13</xdr:row>
      <xdr:rowOff>43262</xdr:rowOff>
    </xdr:from>
    <xdr:to>
      <xdr:col>3</xdr:col>
      <xdr:colOff>393236</xdr:colOff>
      <xdr:row>15</xdr:row>
      <xdr:rowOff>80344</xdr:rowOff>
    </xdr:to>
    <xdr:pic>
      <xdr:nvPicPr>
        <xdr:cNvPr id="2" name="Picture 1">
          <a:extLst>
            <a:ext uri="{FF2B5EF4-FFF2-40B4-BE49-F238E27FC236}">
              <a16:creationId xmlns:a16="http://schemas.microsoft.com/office/drawing/2014/main" id="{4BC07565-9F44-429D-98C5-1B08E47774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62328" y="2542018"/>
          <a:ext cx="391803" cy="399221"/>
        </a:xfrm>
        <a:prstGeom prst="rect">
          <a:avLst/>
        </a:prstGeom>
      </xdr:spPr>
    </xdr:pic>
    <xdr:clientData/>
  </xdr:twoCellAnchor>
  <xdr:twoCellAnchor editAs="oneCell">
    <xdr:from>
      <xdr:col>2</xdr:col>
      <xdr:colOff>906780</xdr:colOff>
      <xdr:row>13</xdr:row>
      <xdr:rowOff>43262</xdr:rowOff>
    </xdr:from>
    <xdr:to>
      <xdr:col>3</xdr:col>
      <xdr:colOff>393236</xdr:colOff>
      <xdr:row>15</xdr:row>
      <xdr:rowOff>80344</xdr:rowOff>
    </xdr:to>
    <xdr:pic>
      <xdr:nvPicPr>
        <xdr:cNvPr id="3" name="Picture 2">
          <a:extLst>
            <a:ext uri="{FF2B5EF4-FFF2-40B4-BE49-F238E27FC236}">
              <a16:creationId xmlns:a16="http://schemas.microsoft.com/office/drawing/2014/main" id="{FF1CBECF-0557-4D48-896C-B8021E2D01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62328" y="2542018"/>
          <a:ext cx="391803" cy="39922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906780</xdr:colOff>
      <xdr:row>13</xdr:row>
      <xdr:rowOff>43262</xdr:rowOff>
    </xdr:from>
    <xdr:to>
      <xdr:col>3</xdr:col>
      <xdr:colOff>393236</xdr:colOff>
      <xdr:row>15</xdr:row>
      <xdr:rowOff>80344</xdr:rowOff>
    </xdr:to>
    <xdr:pic>
      <xdr:nvPicPr>
        <xdr:cNvPr id="2" name="Picture 1">
          <a:extLst>
            <a:ext uri="{FF2B5EF4-FFF2-40B4-BE49-F238E27FC236}">
              <a16:creationId xmlns:a16="http://schemas.microsoft.com/office/drawing/2014/main" id="{0A370E62-15DE-4201-868B-9022B3842F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11805" y="2643587"/>
          <a:ext cx="391331" cy="399033"/>
        </a:xfrm>
        <a:prstGeom prst="rect">
          <a:avLst/>
        </a:prstGeom>
      </xdr:spPr>
    </xdr:pic>
    <xdr:clientData/>
  </xdr:twoCellAnchor>
  <xdr:twoCellAnchor editAs="oneCell">
    <xdr:from>
      <xdr:col>2</xdr:col>
      <xdr:colOff>906780</xdr:colOff>
      <xdr:row>13</xdr:row>
      <xdr:rowOff>43262</xdr:rowOff>
    </xdr:from>
    <xdr:to>
      <xdr:col>3</xdr:col>
      <xdr:colOff>393236</xdr:colOff>
      <xdr:row>15</xdr:row>
      <xdr:rowOff>80344</xdr:rowOff>
    </xdr:to>
    <xdr:pic>
      <xdr:nvPicPr>
        <xdr:cNvPr id="3" name="Picture 2">
          <a:extLst>
            <a:ext uri="{FF2B5EF4-FFF2-40B4-BE49-F238E27FC236}">
              <a16:creationId xmlns:a16="http://schemas.microsoft.com/office/drawing/2014/main" id="{51061CA0-8513-4391-91F7-6507427FC1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11805" y="2643587"/>
          <a:ext cx="391331" cy="39903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906780</xdr:colOff>
      <xdr:row>13</xdr:row>
      <xdr:rowOff>43262</xdr:rowOff>
    </xdr:from>
    <xdr:to>
      <xdr:col>3</xdr:col>
      <xdr:colOff>393236</xdr:colOff>
      <xdr:row>15</xdr:row>
      <xdr:rowOff>80345</xdr:rowOff>
    </xdr:to>
    <xdr:pic>
      <xdr:nvPicPr>
        <xdr:cNvPr id="2" name="Picture 1">
          <a:extLst>
            <a:ext uri="{FF2B5EF4-FFF2-40B4-BE49-F238E27FC236}">
              <a16:creationId xmlns:a16="http://schemas.microsoft.com/office/drawing/2014/main" id="{C1D16A3D-1491-4A41-BCA7-73991BFEBB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11805" y="2643587"/>
          <a:ext cx="391331" cy="399033"/>
        </a:xfrm>
        <a:prstGeom prst="rect">
          <a:avLst/>
        </a:prstGeom>
      </xdr:spPr>
    </xdr:pic>
    <xdr:clientData/>
  </xdr:twoCellAnchor>
  <xdr:twoCellAnchor editAs="oneCell">
    <xdr:from>
      <xdr:col>2</xdr:col>
      <xdr:colOff>906780</xdr:colOff>
      <xdr:row>13</xdr:row>
      <xdr:rowOff>43262</xdr:rowOff>
    </xdr:from>
    <xdr:to>
      <xdr:col>3</xdr:col>
      <xdr:colOff>393236</xdr:colOff>
      <xdr:row>15</xdr:row>
      <xdr:rowOff>80345</xdr:rowOff>
    </xdr:to>
    <xdr:pic>
      <xdr:nvPicPr>
        <xdr:cNvPr id="3" name="Picture 2">
          <a:extLst>
            <a:ext uri="{FF2B5EF4-FFF2-40B4-BE49-F238E27FC236}">
              <a16:creationId xmlns:a16="http://schemas.microsoft.com/office/drawing/2014/main" id="{3998F8A4-8126-4925-A3DA-DD82D4E5B6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11805" y="2643587"/>
          <a:ext cx="391331" cy="39903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906780</xdr:colOff>
      <xdr:row>13</xdr:row>
      <xdr:rowOff>43262</xdr:rowOff>
    </xdr:from>
    <xdr:to>
      <xdr:col>3</xdr:col>
      <xdr:colOff>393236</xdr:colOff>
      <xdr:row>15</xdr:row>
      <xdr:rowOff>80345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93720" y="2336882"/>
          <a:ext cx="400856" cy="402843"/>
        </a:xfrm>
        <a:prstGeom prst="rect">
          <a:avLst/>
        </a:prstGeom>
      </xdr:spPr>
    </xdr:pic>
    <xdr:clientData/>
  </xdr:twoCellAnchor>
  <xdr:twoCellAnchor editAs="oneCell">
    <xdr:from>
      <xdr:col>2</xdr:col>
      <xdr:colOff>906780</xdr:colOff>
      <xdr:row>13</xdr:row>
      <xdr:rowOff>43262</xdr:rowOff>
    </xdr:from>
    <xdr:to>
      <xdr:col>3</xdr:col>
      <xdr:colOff>393236</xdr:colOff>
      <xdr:row>15</xdr:row>
      <xdr:rowOff>80345</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93720" y="2336882"/>
          <a:ext cx="400856" cy="40284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906780</xdr:colOff>
      <xdr:row>11</xdr:row>
      <xdr:rowOff>43262</xdr:rowOff>
    </xdr:from>
    <xdr:to>
      <xdr:col>3</xdr:col>
      <xdr:colOff>393236</xdr:colOff>
      <xdr:row>13</xdr:row>
      <xdr:rowOff>80345</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93720" y="2336882"/>
          <a:ext cx="400856" cy="40284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287655</xdr:colOff>
      <xdr:row>0</xdr:row>
      <xdr:rowOff>373380</xdr:rowOff>
    </xdr:from>
    <xdr:to>
      <xdr:col>6</xdr:col>
      <xdr:colOff>762000</xdr:colOff>
      <xdr:row>0</xdr:row>
      <xdr:rowOff>850076</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35955" y="373380"/>
          <a:ext cx="474345" cy="47669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12</xdr:col>
      <xdr:colOff>12659</xdr:colOff>
      <xdr:row>0</xdr:row>
      <xdr:rowOff>264934</xdr:rowOff>
    </xdr:from>
    <xdr:to>
      <xdr:col>12</xdr:col>
      <xdr:colOff>454197</xdr:colOff>
      <xdr:row>0</xdr:row>
      <xdr:rowOff>708660</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38059" y="264934"/>
          <a:ext cx="441538" cy="44372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0</xdr:row>
      <xdr:rowOff>82054</xdr:rowOff>
    </xdr:from>
    <xdr:to>
      <xdr:col>1</xdr:col>
      <xdr:colOff>713277</xdr:colOff>
      <xdr:row>1</xdr:row>
      <xdr:rowOff>284320</xdr:rowOff>
    </xdr:to>
    <xdr:pic>
      <xdr:nvPicPr>
        <xdr:cNvPr id="6" name="Picture 1">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82054"/>
          <a:ext cx="1046652" cy="1059516"/>
        </a:xfrm>
        <a:prstGeom prst="rect">
          <a:avLst/>
        </a:prstGeom>
      </xdr:spPr>
    </xdr:pic>
    <xdr:clientData/>
  </xdr:twoCellAnchor>
  <xdr:twoCellAnchor>
    <xdr:from>
      <xdr:col>5</xdr:col>
      <xdr:colOff>295275</xdr:colOff>
      <xdr:row>3</xdr:row>
      <xdr:rowOff>228600</xdr:rowOff>
    </xdr:from>
    <xdr:to>
      <xdr:col>13</xdr:col>
      <xdr:colOff>95251</xdr:colOff>
      <xdr:row>13</xdr:row>
      <xdr:rowOff>9525</xdr:rowOff>
    </xdr:to>
    <xdr:sp macro="" textlink="">
      <xdr:nvSpPr>
        <xdr:cNvPr id="3" name="Freeform 1">
          <a:extLst>
            <a:ext uri="{FF2B5EF4-FFF2-40B4-BE49-F238E27FC236}">
              <a16:creationId xmlns:a16="http://schemas.microsoft.com/office/drawing/2014/main" id="{00000000-0008-0000-0500-000003000000}"/>
            </a:ext>
          </a:extLst>
        </xdr:cNvPr>
        <xdr:cNvSpPr/>
      </xdr:nvSpPr>
      <xdr:spPr>
        <a:xfrm>
          <a:off x="3295650" y="1704975"/>
          <a:ext cx="7153276" cy="2352675"/>
        </a:xfrm>
        <a:custGeom>
          <a:avLst/>
          <a:gdLst>
            <a:gd name="connsiteX0" fmla="*/ 0 w 6981825"/>
            <a:gd name="connsiteY0" fmla="*/ 2047875 h 2095500"/>
            <a:gd name="connsiteX1" fmla="*/ 0 w 6981825"/>
            <a:gd name="connsiteY1" fmla="*/ 0 h 2095500"/>
            <a:gd name="connsiteX2" fmla="*/ 6981825 w 6981825"/>
            <a:gd name="connsiteY2" fmla="*/ 0 h 2095500"/>
            <a:gd name="connsiteX3" fmla="*/ 6981825 w 6981825"/>
            <a:gd name="connsiteY3" fmla="*/ 2076450 h 2095500"/>
            <a:gd name="connsiteX4" fmla="*/ 6981825 w 6981825"/>
            <a:gd name="connsiteY4" fmla="*/ 2095500 h 20955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981825" h="2095500">
              <a:moveTo>
                <a:pt x="0" y="2047875"/>
              </a:moveTo>
              <a:lnTo>
                <a:pt x="0" y="0"/>
              </a:lnTo>
              <a:lnTo>
                <a:pt x="6981825" y="0"/>
              </a:lnTo>
              <a:lnTo>
                <a:pt x="6981825" y="2076450"/>
              </a:lnTo>
              <a:lnTo>
                <a:pt x="6981825" y="2095500"/>
              </a:lnTo>
            </a:path>
          </a:pathLst>
        </a:custGeom>
        <a:ln w="15875">
          <a:gradFill flip="none" rotWithShape="1">
            <a:gsLst>
              <a:gs pos="15000">
                <a:schemeClr val="bg1">
                  <a:lumMod val="85000"/>
                </a:schemeClr>
              </a:gs>
              <a:gs pos="59000">
                <a:schemeClr val="bg1">
                  <a:lumMod val="95000"/>
                </a:schemeClr>
              </a:gs>
              <a:gs pos="93000">
                <a:schemeClr val="bg1"/>
              </a:gs>
            </a:gsLst>
            <a:lin ang="5400000" scaled="1"/>
            <a:tileRect/>
          </a:gradFill>
        </a:ln>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1</xdr:col>
      <xdr:colOff>694227</xdr:colOff>
      <xdr:row>2</xdr:row>
      <xdr:rowOff>318750</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525" y="0"/>
          <a:ext cx="1058082" cy="1476990"/>
        </a:xfrm>
        <a:prstGeom prst="rect">
          <a:avLst/>
        </a:prstGeom>
      </xdr:spPr>
    </xdr:pic>
    <xdr:clientData/>
  </xdr:twoCellAnchor>
  <xdr:twoCellAnchor>
    <xdr:from>
      <xdr:col>3</xdr:col>
      <xdr:colOff>295275</xdr:colOff>
      <xdr:row>3</xdr:row>
      <xdr:rowOff>228600</xdr:rowOff>
    </xdr:from>
    <xdr:to>
      <xdr:col>11</xdr:col>
      <xdr:colOff>95251</xdr:colOff>
      <xdr:row>14</xdr:row>
      <xdr:rowOff>9525</xdr:rowOff>
    </xdr:to>
    <xdr:sp macro="" textlink="">
      <xdr:nvSpPr>
        <xdr:cNvPr id="3" name="Freeform 1">
          <a:extLst>
            <a:ext uri="{FF2B5EF4-FFF2-40B4-BE49-F238E27FC236}">
              <a16:creationId xmlns:a16="http://schemas.microsoft.com/office/drawing/2014/main" id="{00000000-0008-0000-0800-000003000000}"/>
            </a:ext>
          </a:extLst>
        </xdr:cNvPr>
        <xdr:cNvSpPr/>
      </xdr:nvSpPr>
      <xdr:spPr>
        <a:xfrm>
          <a:off x="3381375" y="1714500"/>
          <a:ext cx="7526656" cy="2546985"/>
        </a:xfrm>
        <a:custGeom>
          <a:avLst/>
          <a:gdLst>
            <a:gd name="connsiteX0" fmla="*/ 0 w 6981825"/>
            <a:gd name="connsiteY0" fmla="*/ 2047875 h 2095500"/>
            <a:gd name="connsiteX1" fmla="*/ 0 w 6981825"/>
            <a:gd name="connsiteY1" fmla="*/ 0 h 2095500"/>
            <a:gd name="connsiteX2" fmla="*/ 6981825 w 6981825"/>
            <a:gd name="connsiteY2" fmla="*/ 0 h 2095500"/>
            <a:gd name="connsiteX3" fmla="*/ 6981825 w 6981825"/>
            <a:gd name="connsiteY3" fmla="*/ 2076450 h 2095500"/>
            <a:gd name="connsiteX4" fmla="*/ 6981825 w 6981825"/>
            <a:gd name="connsiteY4" fmla="*/ 2095500 h 209550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981825" h="2095500">
              <a:moveTo>
                <a:pt x="0" y="2047875"/>
              </a:moveTo>
              <a:lnTo>
                <a:pt x="0" y="0"/>
              </a:lnTo>
              <a:lnTo>
                <a:pt x="6981825" y="0"/>
              </a:lnTo>
              <a:lnTo>
                <a:pt x="6981825" y="2076450"/>
              </a:lnTo>
              <a:lnTo>
                <a:pt x="6981825" y="2095500"/>
              </a:lnTo>
            </a:path>
          </a:pathLst>
        </a:custGeom>
        <a:ln w="15875">
          <a:gradFill flip="none" rotWithShape="1">
            <a:gsLst>
              <a:gs pos="15000">
                <a:schemeClr val="bg1">
                  <a:lumMod val="85000"/>
                </a:schemeClr>
              </a:gs>
              <a:gs pos="59000">
                <a:schemeClr val="bg1">
                  <a:lumMod val="95000"/>
                </a:schemeClr>
              </a:gs>
              <a:gs pos="93000">
                <a:schemeClr val="bg1"/>
              </a:gs>
            </a:gsLst>
            <a:lin ang="5400000" scaled="1"/>
            <a:tileRect/>
          </a:gradFill>
        </a:ln>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0</xdr:col>
      <xdr:colOff>190500</xdr:colOff>
      <xdr:row>3</xdr:row>
      <xdr:rowOff>100012</xdr:rowOff>
    </xdr:from>
    <xdr:to>
      <xdr:col>3</xdr:col>
      <xdr:colOff>123825</xdr:colOff>
      <xdr:row>12</xdr:row>
      <xdr:rowOff>161925</xdr:rowOff>
    </xdr:to>
    <xdr:grpSp>
      <xdr:nvGrpSpPr>
        <xdr:cNvPr id="4" name="Group 1">
          <a:extLst>
            <a:ext uri="{FF2B5EF4-FFF2-40B4-BE49-F238E27FC236}">
              <a16:creationId xmlns:a16="http://schemas.microsoft.com/office/drawing/2014/main" id="{00000000-0008-0000-0800-000004000000}"/>
            </a:ext>
          </a:extLst>
        </xdr:cNvPr>
        <xdr:cNvGrpSpPr/>
      </xdr:nvGrpSpPr>
      <xdr:grpSpPr>
        <a:xfrm>
          <a:off x="190500" y="1585912"/>
          <a:ext cx="3034665" cy="2446973"/>
          <a:chOff x="361950" y="1624012"/>
          <a:chExt cx="2638425" cy="2185988"/>
        </a:xfrm>
      </xdr:grpSpPr>
      <xdr:graphicFrame macro="">
        <xdr:nvGraphicFramePr>
          <xdr:cNvPr id="5" name="Chart 1">
            <a:extLst>
              <a:ext uri="{FF2B5EF4-FFF2-40B4-BE49-F238E27FC236}">
                <a16:creationId xmlns:a16="http://schemas.microsoft.com/office/drawing/2014/main" id="{00000000-0008-0000-0800-000005000000}"/>
              </a:ext>
            </a:extLst>
          </xdr:cNvPr>
          <xdr:cNvGraphicFramePr/>
        </xdr:nvGraphicFramePr>
        <xdr:xfrm>
          <a:off x="361950" y="1624012"/>
          <a:ext cx="2590800" cy="2109788"/>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6" name="Rounded Rectangle 5">
            <a:extLst>
              <a:ext uri="{FF2B5EF4-FFF2-40B4-BE49-F238E27FC236}">
                <a16:creationId xmlns:a16="http://schemas.microsoft.com/office/drawing/2014/main" id="{00000000-0008-0000-0800-000006000000}"/>
              </a:ext>
            </a:extLst>
          </xdr:cNvPr>
          <xdr:cNvSpPr/>
        </xdr:nvSpPr>
        <xdr:spPr>
          <a:xfrm>
            <a:off x="361950" y="1771650"/>
            <a:ext cx="2638425" cy="2038350"/>
          </a:xfrm>
          <a:prstGeom prst="roundRect">
            <a:avLst>
              <a:gd name="adj" fmla="val 6113"/>
            </a:avLst>
          </a:prstGeom>
          <a:noFill/>
          <a:ln>
            <a:solidFill>
              <a:schemeClr val="bg1">
                <a:lumMod val="95000"/>
              </a:schemeClr>
            </a:solidFill>
          </a:ln>
          <a:effectLst>
            <a:glow rad="63500">
              <a:schemeClr val="bg1">
                <a:lumMod val="95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9119F21F-0F15-48A0-BE5C-6D5AFACA21F2}" name="CkReg2022" displayName="CkReg2022" ref="H2:R252" totalsRowCount="1" headerRowDxfId="201" dataDxfId="200" totalsRowDxfId="199">
  <autoFilter ref="H2:R251" xr:uid="{00000000-0009-0000-0100-00000E000000}"/>
  <sortState xmlns:xlrd2="http://schemas.microsoft.com/office/spreadsheetml/2017/richdata2" ref="H3:R250">
    <sortCondition ref="I2:I250"/>
  </sortState>
  <tableColumns count="11">
    <tableColumn id="12" xr3:uid="{8CD5E016-67AA-4D0C-8932-A9E711593837}" name="Check #" dataDxfId="21" totalsRowDxfId="10"/>
    <tableColumn id="6" xr3:uid="{C8AB28BC-4F5B-4E45-9D44-55F85FD1ADC0}" name="Date" dataDxfId="20" totalsRowDxfId="9"/>
    <tableColumn id="7" xr3:uid="{F4E8CBAF-44EC-4750-8DF7-457DD67DB308}" name="Payee or Receipt Number" dataDxfId="19" totalsRowDxfId="8"/>
    <tableColumn id="8" xr3:uid="{71154A0A-34F4-4AD3-AD28-AB06CDA71115}" name="Description" dataDxfId="18" totalsRowDxfId="7"/>
    <tableColumn id="2" xr3:uid="{35EFC9D0-24E3-4DA3-AAF7-3C8F27F76F17}" name="Category" dataDxfId="17" totalsRowDxfId="6"/>
    <tableColumn id="3" xr3:uid="{52C1C92D-8054-43EB-9EE6-E0F4308F5311}" name="Withdrawal" totalsRowFunction="custom" dataDxfId="16" totalsRowDxfId="5" dataCellStyle="Currency">
      <totalsRowFormula>SUM(M4:M251)</totalsRowFormula>
    </tableColumn>
    <tableColumn id="4" xr3:uid="{1E1A6069-846F-405F-B907-B6C96F44C81A}" name="Deposit" totalsRowFunction="sum" dataDxfId="15" totalsRowDxfId="4" dataCellStyle="Currency">
      <calculatedColumnFormula>+'Check Register 2015'!M173</calculatedColumnFormula>
    </tableColumn>
    <tableColumn id="5" xr3:uid="{4303B087-4FEB-40F0-A714-49EDB80AD0C2}" name="Available Balance" totalsRowFunction="custom" dataDxfId="14" totalsRowDxfId="3" dataCellStyle="Currency">
      <calculatedColumnFormula>IF(ISBLANK(CkReg2022[[#This Row],[Withdrawal]]),#REF!+CkReg2022[[#This Row],[Deposit]],#REF!-CkReg2022[[#This Row],[Withdrawal]])</calculatedColumnFormula>
      <totalsRowFormula>CkReg2022[[#Totals],[Deposit]]-CkReg2022[[#Totals],[Withdrawal]]</totalsRowFormula>
    </tableColumn>
    <tableColumn id="9" xr3:uid="{E30C8072-6296-485A-B0D4-433B21EE14AE}" name="Cleared" dataDxfId="13" totalsRowDxfId="2"/>
    <tableColumn id="10" xr3:uid="{F9FEB316-FD2B-4793-AE3D-13EB1705C409}" name="Balance per Bank" dataDxfId="12" totalsRowDxfId="1" dataCellStyle="Currency">
      <calculatedColumnFormula>+CkReg2022[[#This Row],[Available Balance]]</calculatedColumnFormula>
    </tableColumn>
    <tableColumn id="11" xr3:uid="{92D1F705-8FCE-4715-80C2-E186FF1714CF}" name="Statement" dataDxfId="11" totalsRowDxfId="0"/>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53EC3E-9DAA-40EA-98E5-38EDB030005E}" name="CategoryTable81210141618162224" displayName="CategoryTable81210141618162224" ref="B16:F69" totalsRowCount="1" headerRowDxfId="198" dataDxfId="197" totalsRowDxfId="196">
  <tableColumns count="5">
    <tableColumn id="1" xr3:uid="{68D8AC4A-FBC9-4894-83D1-27849E8C070A}" name="Category" totalsRowLabel="Vermilion Only" dataDxfId="195" totalsRowDxfId="28"/>
    <tableColumn id="2" xr3:uid="{3D5B0B2F-E63D-4909-8BC2-4EDDFF7054FB}" name="Actual to date" totalsRowFunction="custom" dataDxfId="194" totalsRowDxfId="27">
      <calculatedColumnFormula>SUMIF(MyTransactions[Category],"=" &amp;CategoryTable81210141618162224[[#This Row],[Category]],MyTransactions[Withdrawal])</calculatedColumnFormula>
      <totalsRowFormula>SUM(C57:C63)</totalsRowFormula>
    </tableColumn>
    <tableColumn id="3" xr3:uid="{203544B5-AF9A-472C-A162-2C7321EEF49D}" name="Budget" totalsRowFunction="custom" dataDxfId="193" totalsRowDxfId="26">
      <totalsRowFormula>SUM(D46:D63)</totalsRowFormula>
    </tableColumn>
    <tableColumn id="5" xr3:uid="{A67BCA80-FE18-4E1E-A39B-8A09F8F2A7B9}" name="Amended Budget" dataDxfId="192" totalsRowDxfId="25">
      <calculatedColumnFormula>+CategoryTable81210141618162224[[#This Row],[Budget]]</calculatedColumnFormula>
    </tableColumn>
    <tableColumn id="4" xr3:uid="{89FE63E0-C5BE-48BA-8A5F-04D9FF22EF1C}" name="Budget Balance" totalsRowFunction="custom" dataDxfId="191" totalsRowDxfId="24">
      <calculatedColumnFormula>-CategoryTable81210141618162224[[#This Row],[Budget]]+CategoryTable81210141618162224[[#This Row],[Actual to date]]</calculatedColumnFormula>
      <totalsRowFormula>SUM(F46:F63)</totalsRowFormula>
    </tableColumn>
  </tableColumns>
  <tableStyleInfo name="CheckRegisterSummary"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FB3425C7-CE47-40A7-BD35-D48D8A6D1D8C}" name="CkReg16_1815171521" displayName="CkReg16_1815171521" ref="H2:R252" totalsRowCount="1" headerRowDxfId="217" dataDxfId="215" totalsRowDxfId="216">
  <autoFilter ref="H2:R251" xr:uid="{00000000-0009-0000-0100-00000E000000}"/>
  <sortState xmlns:xlrd2="http://schemas.microsoft.com/office/spreadsheetml/2017/richdata2" ref="H3:R250">
    <sortCondition ref="I2:I250"/>
  </sortState>
  <tableColumns count="11">
    <tableColumn id="12" xr3:uid="{14A9A4A0-9932-4DC2-911B-0A090545E2F9}" name="Check #" dataDxfId="239" totalsRowDxfId="238"/>
    <tableColumn id="6" xr3:uid="{E0409792-56E8-4219-9B93-9CE687250ECC}" name="Date" dataDxfId="237" totalsRowDxfId="236"/>
    <tableColumn id="7" xr3:uid="{F8CC688C-4239-455C-8F46-18AC83AD0C48}" name="Payee or Receipt Number" dataDxfId="235" totalsRowDxfId="234"/>
    <tableColumn id="8" xr3:uid="{DAEA01AA-33B6-4593-B175-00FD02CCA5DD}" name="Description" dataDxfId="233" totalsRowDxfId="232"/>
    <tableColumn id="2" xr3:uid="{54FAF5F2-B55F-4FE4-A089-F3C393C8E2AE}" name="Category" dataDxfId="231" totalsRowDxfId="230"/>
    <tableColumn id="3" xr3:uid="{466FF1F1-FB84-4B57-B346-69C137F1A3E5}" name="Withdrawal" totalsRowFunction="custom" dataDxfId="229" totalsRowDxfId="228" dataCellStyle="Currency">
      <totalsRowFormula>SUM(M4:M251)</totalsRowFormula>
    </tableColumn>
    <tableColumn id="4" xr3:uid="{31F43588-A9D5-46D3-A5B6-849E1930F6B6}" name="Deposit" totalsRowFunction="sum" dataDxfId="227" totalsRowDxfId="226" dataCellStyle="Currency">
      <calculatedColumnFormula>+'Check Register 2015'!M173</calculatedColumnFormula>
    </tableColumn>
    <tableColumn id="5" xr3:uid="{7AF3AFFA-3AB1-4E50-8E13-D9D0990960ED}" name="Available Balance" totalsRowFunction="custom" dataDxfId="225" totalsRowDxfId="224" dataCellStyle="Currency">
      <calculatedColumnFormula>IF(ISBLANK(CkReg16_1815171521[[#This Row],[Withdrawal]]),#REF!+CkReg16_1815171521[[#This Row],[Deposit]],#REF!-CkReg16_1815171521[[#This Row],[Withdrawal]])</calculatedColumnFormula>
      <totalsRowFormula>CkReg16_1815171521[[#Totals],[Deposit]]-CkReg16_1815171521[[#Totals],[Withdrawal]]</totalsRowFormula>
    </tableColumn>
    <tableColumn id="9" xr3:uid="{E514BC8E-1BB2-4443-A26D-620E51FEEF8E}" name="Cleared" dataDxfId="223" totalsRowDxfId="222"/>
    <tableColumn id="10" xr3:uid="{B12B26AC-D404-4B1E-B973-18ABB68E50B6}" name="Balance per Bank" dataDxfId="221" totalsRowDxfId="220" dataCellStyle="Currency">
      <calculatedColumnFormula>+CkReg16_1815171521[[#This Row],[Available Balance]]</calculatedColumnFormula>
    </tableColumn>
    <tableColumn id="11" xr3:uid="{1DEA53BD-C22B-4E95-B5D7-98B54AF9A0EC}" name="Statement" dataDxfId="219" totalsRowDxfId="218"/>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4C66B151-3E8C-41DA-A89E-FD998E9AFC99}" name="CategoryTable812101416181622" displayName="CategoryTable812101416181622" ref="B16:F77" totalsRowCount="1" headerRowDxfId="204" dataDxfId="202" totalsRowDxfId="203">
  <tableColumns count="5">
    <tableColumn id="1" xr3:uid="{50EA27F8-F968-4F22-84C3-819C4B8CA2EF}" name="Category" totalsRowLabel="Vermilion Only" dataDxfId="214" totalsRowDxfId="213"/>
    <tableColumn id="2" xr3:uid="{CDD46721-A6CB-4759-94E3-1561AED90D46}" name="Actual to date" totalsRowFunction="custom" dataDxfId="212" totalsRowDxfId="211">
      <calculatedColumnFormula>SUMIF(MyTransactions[Category],"=" &amp;CategoryTable812101416181622[[#This Row],[Category]],MyTransactions[Withdrawal])</calculatedColumnFormula>
      <totalsRowFormula>SUM(C57:C75)</totalsRowFormula>
    </tableColumn>
    <tableColumn id="3" xr3:uid="{81476005-7005-449C-95B3-08EEDD9DB8ED}" name="Budget" totalsRowFunction="custom" dataDxfId="210" totalsRowDxfId="209">
      <totalsRowFormula>SUM(D58:D75)</totalsRowFormula>
    </tableColumn>
    <tableColumn id="5" xr3:uid="{93FCDE4F-B977-4454-A1D0-AD686F33D51E}" name="Amended Budget" dataDxfId="208" totalsRowDxfId="207">
      <calculatedColumnFormula>+CategoryTable812101416181622[[#This Row],[Budget]]</calculatedColumnFormula>
    </tableColumn>
    <tableColumn id="4" xr3:uid="{D139AF31-DC10-4CC7-9850-669BA4C31297}" name="Budget Balance" totalsRowFunction="custom" dataDxfId="206" totalsRowDxfId="205">
      <calculatedColumnFormula>-CategoryTable812101416181622[[#This Row],[Budget]]+CategoryTable812101416181622[[#This Row],[Actual to date]]</calculatedColumnFormula>
      <totalsRowFormula>SUM(F57:F75)</totalsRowFormula>
    </tableColumn>
  </tableColumns>
  <tableStyleInfo name="CheckRegisterSummary"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0000000}" name="CkReg16_18151715" displayName="CkReg16_18151715" ref="H2:R207" totalsRowCount="1" headerRowDxfId="526" dataDxfId="525" totalsRowDxfId="524">
  <autoFilter ref="H2:R206" xr:uid="{00000000-0009-0000-0100-00000E000000}"/>
  <tableColumns count="11">
    <tableColumn id="12" xr3:uid="{00000000-0010-0000-0000-00000C000000}" name="Check #" dataDxfId="523" totalsRowDxfId="522"/>
    <tableColumn id="6" xr3:uid="{00000000-0010-0000-0000-000006000000}" name="Date" dataDxfId="521" totalsRowDxfId="520"/>
    <tableColumn id="7" xr3:uid="{00000000-0010-0000-0000-000007000000}" name="Payee" dataDxfId="519" totalsRowDxfId="518"/>
    <tableColumn id="8" xr3:uid="{00000000-0010-0000-0000-000008000000}" name="Description" dataDxfId="517" totalsRowDxfId="516"/>
    <tableColumn id="2" xr3:uid="{00000000-0010-0000-0000-000002000000}" name="Category" dataDxfId="515" totalsRowDxfId="514"/>
    <tableColumn id="3" xr3:uid="{00000000-0010-0000-0000-000003000000}" name="Withdrawal" totalsRowFunction="sum" dataDxfId="513" totalsRowDxfId="512" dataCellStyle="Currency"/>
    <tableColumn id="4" xr3:uid="{00000000-0010-0000-0000-000004000000}" name="Deposit" totalsRowFunction="sum" dataDxfId="511" totalsRowDxfId="510" dataCellStyle="Currency">
      <calculatedColumnFormula>+'Check Register 2015'!M173</calculatedColumnFormula>
    </tableColumn>
    <tableColumn id="5" xr3:uid="{00000000-0010-0000-0000-000005000000}" name="Available Balance" totalsRowFunction="custom" dataDxfId="509" totalsRowDxfId="508" dataCellStyle="Currency">
      <calculatedColumnFormula>IF(ISBLANK(CkReg16_18151715[[#This Row],[Withdrawal]]),#REF!+CkReg16_18151715[[#This Row],[Deposit]],#REF!-CkReg16_18151715[[#This Row],[Withdrawal]])</calculatedColumnFormula>
      <totalsRowFormula>CkReg16_18151715[[#Totals],[Deposit]]-CkReg16_18151715[[#Totals],[Withdrawal]]</totalsRowFormula>
    </tableColumn>
    <tableColumn id="9" xr3:uid="{00000000-0010-0000-0000-000009000000}" name="Cleared" dataDxfId="507" totalsRowDxfId="506"/>
    <tableColumn id="10" xr3:uid="{00000000-0010-0000-0000-00000A000000}" name="Balance per Bank" dataDxfId="505" totalsRowDxfId="504" dataCellStyle="Currency">
      <calculatedColumnFormula>+CkReg16_18151715[[#This Row],[Available Balance]]</calculatedColumnFormula>
    </tableColumn>
    <tableColumn id="11" xr3:uid="{00000000-0010-0000-0000-00000B000000}" name="Statement" dataDxfId="503" totalsRowDxfId="502"/>
  </tableColumns>
  <tableStyleInfo name="TableStyleLight1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1000000}" name="CategoryTable8121014161816" displayName="CategoryTable8121014161816" ref="B17:F71" totalsRowCount="1" headerRowDxfId="501" dataDxfId="500" totalsRowDxfId="499">
  <tableColumns count="5">
    <tableColumn id="1" xr3:uid="{00000000-0010-0000-0100-000001000000}" name="Category" totalsRowLabel="Vermilion Only" dataDxfId="498" totalsRowDxfId="497"/>
    <tableColumn id="2" xr3:uid="{00000000-0010-0000-0100-000002000000}" name="Actual to date" totalsRowFunction="custom" dataDxfId="496" totalsRowDxfId="495">
      <calculatedColumnFormula>SUMIF(MyTransactions[Category],"=" &amp;CategoryTable8121014161816[[#This Row],[Category]],MyTransactions[Withdrawal])</calculatedColumnFormula>
      <totalsRowFormula>SUM(C53:C69)</totalsRowFormula>
    </tableColumn>
    <tableColumn id="3" xr3:uid="{00000000-0010-0000-0100-000003000000}" name="Budget" totalsRowFunction="custom" dataDxfId="494" totalsRowDxfId="493">
      <totalsRowFormula>SUM(D53:D69)</totalsRowFormula>
    </tableColumn>
    <tableColumn id="5" xr3:uid="{00000000-0010-0000-0100-000005000000}" name="Amended Budget" dataDxfId="492" totalsRowDxfId="491">
      <calculatedColumnFormula>+CategoryTable8121014161816[[#This Row],[Budget]]</calculatedColumnFormula>
    </tableColumn>
    <tableColumn id="4" xr3:uid="{00000000-0010-0000-0100-000004000000}" name="Budget Balance" totalsRowFunction="custom" dataDxfId="490" totalsRowDxfId="489">
      <calculatedColumnFormula>-CategoryTable8121014161816[[#This Row],[Budget]]+CategoryTable8121014161816[[#This Row],[Actual to date]]</calculatedColumnFormula>
      <totalsRowFormula>SUM(F53:F69)</totalsRowFormula>
    </tableColumn>
  </tableColumns>
  <tableStyleInfo name="CheckRegisterSummary"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2000000}" name="CkReg16_181517" displayName="CkReg16_181517" ref="H2:R207" totalsRowCount="1" headerRowDxfId="488" dataDxfId="487" totalsRowDxfId="486">
  <tableColumns count="11">
    <tableColumn id="12" xr3:uid="{00000000-0010-0000-0200-00000C000000}" name="Check #" dataDxfId="485" totalsRowDxfId="484"/>
    <tableColumn id="6" xr3:uid="{00000000-0010-0000-0200-000006000000}" name="Date" dataDxfId="483" totalsRowDxfId="482"/>
    <tableColumn id="7" xr3:uid="{00000000-0010-0000-0200-000007000000}" name="Payee" dataDxfId="481" totalsRowDxfId="480"/>
    <tableColumn id="8" xr3:uid="{00000000-0010-0000-0200-000008000000}" name="Description" dataDxfId="479" totalsRowDxfId="478"/>
    <tableColumn id="2" xr3:uid="{00000000-0010-0000-0200-000002000000}" name="Category" dataDxfId="477" totalsRowDxfId="476"/>
    <tableColumn id="3" xr3:uid="{00000000-0010-0000-0200-000003000000}" name="Withdrawal" totalsRowFunction="sum" dataDxfId="475" totalsRowDxfId="474" dataCellStyle="Currency"/>
    <tableColumn id="4" xr3:uid="{00000000-0010-0000-0200-000004000000}" name="Deposit" totalsRowFunction="sum" dataDxfId="473" totalsRowDxfId="472" dataCellStyle="Currency">
      <calculatedColumnFormula>+'Check Register 2015'!M173</calculatedColumnFormula>
    </tableColumn>
    <tableColumn id="5" xr3:uid="{00000000-0010-0000-0200-000005000000}" name="Available Balance" totalsRowFunction="custom" dataDxfId="471" totalsRowDxfId="470" dataCellStyle="Currency">
      <calculatedColumnFormula>IF(ISBLANK(CkReg16_181517[[#This Row],[Withdrawal]]),#REF!+CkReg16_181517[[#This Row],[Deposit]],#REF!-CkReg16_181517[[#This Row],[Withdrawal]])</calculatedColumnFormula>
      <totalsRowFormula>CkReg16_181517[[#Totals],[Deposit]]-CkReg16_181517[[#Totals],[Withdrawal]]</totalsRowFormula>
    </tableColumn>
    <tableColumn id="9" xr3:uid="{00000000-0010-0000-0200-000009000000}" name="Cleared" dataDxfId="469" totalsRowDxfId="468"/>
    <tableColumn id="10" xr3:uid="{00000000-0010-0000-0200-00000A000000}" name="Balance per Bank" dataDxfId="467" totalsRowDxfId="466" dataCellStyle="Currency">
      <calculatedColumnFormula>+CkReg16_181517[[#This Row],[Available Balance]]</calculatedColumnFormula>
    </tableColumn>
    <tableColumn id="11" xr3:uid="{00000000-0010-0000-0200-00000B000000}" name="Statement" dataDxfId="465" totalsRowDxfId="464"/>
  </tableColumns>
  <tableStyleInfo name="TableStyleLight16"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3000000}" name="CategoryTable81210141618" displayName="CategoryTable81210141618" ref="B17:F67" totalsRowCount="1" headerRowDxfId="463" dataDxfId="462" totalsRowDxfId="461">
  <tableColumns count="5">
    <tableColumn id="1" xr3:uid="{00000000-0010-0000-0300-000001000000}" name="Category" dataDxfId="460" totalsRowDxfId="459"/>
    <tableColumn id="2" xr3:uid="{00000000-0010-0000-0300-000002000000}" name="Actual to date" totalsRowFunction="custom" dataDxfId="458" totalsRowDxfId="457">
      <calculatedColumnFormula>SUMIF(MyTransactions[Category],"=" &amp;CategoryTable81210141618[[#This Row],[Category]],MyTransactions[Withdrawal])</calculatedColumnFormula>
      <totalsRowFormula>SUM(C51:C65)</totalsRowFormula>
    </tableColumn>
    <tableColumn id="3" xr3:uid="{00000000-0010-0000-0300-000003000000}" name="Budget" totalsRowFunction="custom" dataDxfId="456" totalsRowDxfId="455">
      <totalsRowFormula>SUM(D51:D65)</totalsRowFormula>
    </tableColumn>
    <tableColumn id="5" xr3:uid="{00000000-0010-0000-0300-000005000000}" name="Amended Budget" dataDxfId="454" totalsRowDxfId="453">
      <calculatedColumnFormula>+CategoryTable81210141618[[#This Row],[Budget]]</calculatedColumnFormula>
    </tableColumn>
    <tableColumn id="4" xr3:uid="{00000000-0010-0000-0300-000004000000}" name="Budget Balance" totalsRowFunction="custom" dataDxfId="452" totalsRowDxfId="451">
      <calculatedColumnFormula>-CategoryTable81210141618[[#This Row],[Budget]]+CategoryTable81210141618[[#This Row],[Actual to date]]</calculatedColumnFormula>
      <totalsRowFormula>SUM(F51:F65)</totalsRowFormula>
    </tableColumn>
  </tableColumns>
  <tableStyleInfo name="CheckRegisterSummary"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4000000}" name="CkReg16_181519" displayName="CkReg16_181519" ref="G2:Q204" totalsRowCount="1" headerRowDxfId="450" dataDxfId="449" totalsRowDxfId="448">
  <autoFilter ref="G2:Q203" xr:uid="{00000000-0009-0000-0100-000012000000}"/>
  <tableColumns count="11">
    <tableColumn id="12" xr3:uid="{00000000-0010-0000-0400-00000C000000}" name="Check #" dataDxfId="447" totalsRowDxfId="446"/>
    <tableColumn id="6" xr3:uid="{00000000-0010-0000-0400-000006000000}" name="Date" dataDxfId="445" totalsRowDxfId="444"/>
    <tableColumn id="7" xr3:uid="{00000000-0010-0000-0400-000007000000}" name="Payee" dataDxfId="443" totalsRowDxfId="442"/>
    <tableColumn id="8" xr3:uid="{00000000-0010-0000-0400-000008000000}" name="Description" dataDxfId="441" totalsRowDxfId="440"/>
    <tableColumn id="2" xr3:uid="{00000000-0010-0000-0400-000002000000}" name="Category" dataDxfId="439" totalsRowDxfId="438"/>
    <tableColumn id="3" xr3:uid="{00000000-0010-0000-0400-000003000000}" name="Withdrawal" totalsRowFunction="sum" dataDxfId="437" totalsRowDxfId="436" dataCellStyle="Comma"/>
    <tableColumn id="4" xr3:uid="{00000000-0010-0000-0400-000004000000}" name="Deposit" totalsRowFunction="sum" dataDxfId="435" totalsRowDxfId="434" dataCellStyle="Comma"/>
    <tableColumn id="5" xr3:uid="{00000000-0010-0000-0400-000005000000}" name="Available Balance" totalsRowFunction="custom" dataDxfId="433" totalsRowDxfId="432" dataCellStyle="Comma">
      <calculatedColumnFormula>IF(ISBLANK(CkReg16_181519[[#This Row],[Withdrawal]]),#REF!+CkReg16_181519[[#This Row],[Deposit]],#REF!-CkReg16_181519[[#This Row],[Withdrawal]])</calculatedColumnFormula>
      <totalsRowFormula>CkReg16_181519[[#Totals],[Deposit]]-CkReg16_181519[[#Totals],[Withdrawal]]</totalsRowFormula>
    </tableColumn>
    <tableColumn id="9" xr3:uid="{00000000-0010-0000-0400-000009000000}" name="Cleared" dataDxfId="431" totalsRowDxfId="430"/>
    <tableColumn id="10" xr3:uid="{00000000-0010-0000-0400-00000A000000}" name="Balance per Bank" dataDxfId="429" totalsRowDxfId="428" dataCellStyle="Comma">
      <calculatedColumnFormula>+CkReg16_181519[[#This Row],[Available Balance]]</calculatedColumnFormula>
    </tableColumn>
    <tableColumn id="11" xr3:uid="{00000000-0010-0000-0400-00000B000000}" name="Statement" dataDxfId="427" totalsRowDxfId="426"/>
  </tableColumns>
  <tableStyleInfo name="TableStyleLight16"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5000000}" name="CategoryTable81210141620" displayName="CategoryTable81210141620" ref="B17:E67" totalsRowCount="1" headerRowDxfId="425" dataDxfId="424">
  <tableColumns count="4">
    <tableColumn id="1" xr3:uid="{00000000-0010-0000-0500-000001000000}" name="Category" dataDxfId="423" totalsRowDxfId="422"/>
    <tableColumn id="2" xr3:uid="{00000000-0010-0000-0500-000002000000}" name="Actual to date" totalsRowFunction="custom" dataDxfId="421" totalsRowDxfId="420">
      <totalsRowFormula>SUM(C51:C65)</totalsRowFormula>
    </tableColumn>
    <tableColumn id="3" xr3:uid="{00000000-0010-0000-0500-000003000000}" name="Budget" totalsRowFunction="custom" dataDxfId="419" totalsRowDxfId="418">
      <totalsRowFormula>SUM(D51:D65)</totalsRowFormula>
    </tableColumn>
    <tableColumn id="4" xr3:uid="{00000000-0010-0000-0500-000004000000}" name="Budget Balance" totalsRowFunction="custom" dataDxfId="417" totalsRowDxfId="416">
      <calculatedColumnFormula>-CategoryTable81210141620[[#This Row],[Budget]]+CategoryTable81210141620[[#This Row],[Actual to date]]</calculatedColumnFormula>
      <totalsRowFormula>SUM(E51:E65)</totalsRowFormula>
    </tableColumn>
  </tableColumns>
  <tableStyleInfo name="CheckRegisterSummary"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6000000}" name="CkReg16_18" displayName="CkReg16_18" ref="G2:Q204" totalsRowCount="1" headerRowDxfId="415" dataDxfId="414" totalsRowDxfId="413">
  <autoFilter ref="G2:Q203" xr:uid="{00000000-0009-0000-0100-00000C000000}"/>
  <tableColumns count="11">
    <tableColumn id="12" xr3:uid="{00000000-0010-0000-0600-00000C000000}" name="Check #" dataDxfId="412" totalsRowDxfId="411"/>
    <tableColumn id="6" xr3:uid="{00000000-0010-0000-0600-000006000000}" name="Date" dataDxfId="410" totalsRowDxfId="409"/>
    <tableColumn id="7" xr3:uid="{00000000-0010-0000-0600-000007000000}" name="Payee" dataDxfId="408" totalsRowDxfId="407"/>
    <tableColumn id="8" xr3:uid="{00000000-0010-0000-0600-000008000000}" name="Description" dataDxfId="406" totalsRowDxfId="405"/>
    <tableColumn id="2" xr3:uid="{00000000-0010-0000-0600-000002000000}" name="Category" dataDxfId="404" totalsRowDxfId="403"/>
    <tableColumn id="3" xr3:uid="{00000000-0010-0000-0600-000003000000}" name="Withdrawal" totalsRowFunction="sum" dataDxfId="402" totalsRowDxfId="401" dataCellStyle="Comma"/>
    <tableColumn id="4" xr3:uid="{00000000-0010-0000-0600-000004000000}" name="Deposit" totalsRowFunction="sum" dataDxfId="400" totalsRowDxfId="399" dataCellStyle="Comma">
      <calculatedColumnFormula>+'Check Register 2015'!M173</calculatedColumnFormula>
    </tableColumn>
    <tableColumn id="5" xr3:uid="{00000000-0010-0000-0600-000005000000}" name="Available Balance" totalsRowFunction="custom" dataDxfId="398" totalsRowDxfId="397" dataCellStyle="Comma">
      <calculatedColumnFormula>IF(ISBLANK(CkReg16_18[[#This Row],[Withdrawal]]),#REF!+CkReg16_18[[#This Row],[Deposit]],#REF!-CkReg16_18[[#This Row],[Withdrawal]])</calculatedColumnFormula>
      <totalsRowFormula>CkReg16_18[[#Totals],[Deposit]]-CkReg16_18[[#Totals],[Withdrawal]]</totalsRowFormula>
    </tableColumn>
    <tableColumn id="9" xr3:uid="{00000000-0010-0000-0600-000009000000}" name="Cleared" dataDxfId="396" totalsRowDxfId="395"/>
    <tableColumn id="10" xr3:uid="{00000000-0010-0000-0600-00000A000000}" name="Balance per Bank" dataDxfId="394" totalsRowDxfId="393" dataCellStyle="Comma">
      <calculatedColumnFormula>+CkReg16_18[[#This Row],[Available Balance]]</calculatedColumnFormula>
    </tableColumn>
    <tableColumn id="11" xr3:uid="{00000000-0010-0000-0600-00000B000000}" name="Statement" dataDxfId="392" totalsRowDxfId="391"/>
  </tableColumns>
  <tableStyleInfo name="TableStyleLight16"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7000000}" name="CategoryTable8121014" displayName="CategoryTable8121014" ref="B17:E68" totalsRowCount="1" headerRowDxfId="390" dataDxfId="389" totalsRowDxfId="388">
  <tableColumns count="4">
    <tableColumn id="1" xr3:uid="{00000000-0010-0000-0700-000001000000}" name="Category" dataDxfId="387" totalsRowDxfId="386"/>
    <tableColumn id="2" xr3:uid="{00000000-0010-0000-0700-000002000000}" name="Actual to date" totalsRowFunction="custom" dataDxfId="385" totalsRowDxfId="384">
      <calculatedColumnFormula>SUMIF(MyTransactions[Category],"=" &amp;CategoryTable8121014[[#This Row],[Category]],MyTransactions[Withdrawal])</calculatedColumnFormula>
      <totalsRowFormula>SUM(C52:C66)</totalsRowFormula>
    </tableColumn>
    <tableColumn id="3" xr3:uid="{00000000-0010-0000-0700-000003000000}" name="Budget" totalsRowFunction="custom" dataDxfId="383" totalsRowDxfId="382">
      <totalsRowFormula>SUM(D52:D66)</totalsRowFormula>
    </tableColumn>
    <tableColumn id="4" xr3:uid="{00000000-0010-0000-0700-000004000000}" name="Budget Balance" totalsRowFunction="custom" dataDxfId="381" totalsRowDxfId="380">
      <calculatedColumnFormula>-CategoryTable8121014[[#This Row],[Budget]]+CategoryTable8121014[[#This Row],[Actual to date]]</calculatedColumnFormula>
      <totalsRowFormula>SUM(E52:E66)</totalsRowFormula>
    </tableColumn>
  </tableColumns>
  <tableStyleInfo name="CheckRegisterSummary"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8000000}" name="CkReg15_16" displayName="CkReg15_16" ref="H2:R177" totalsRowCount="1" headerRowDxfId="379" dataDxfId="377" totalsRowDxfId="376" headerRowBorderDxfId="378">
  <autoFilter ref="H2:R176" xr:uid="{00000000-0009-0000-0100-000008000000}"/>
  <tableColumns count="11">
    <tableColumn id="1" xr3:uid="{00000000-0010-0000-0800-000001000000}" name="Check #" dataDxfId="375" totalsRowDxfId="374"/>
    <tableColumn id="6" xr3:uid="{00000000-0010-0000-0800-000006000000}" name="Date" dataDxfId="373" totalsRowDxfId="372"/>
    <tableColumn id="7" xr3:uid="{00000000-0010-0000-0800-000007000000}" name="Payee" dataDxfId="371" totalsRowDxfId="370"/>
    <tableColumn id="8" xr3:uid="{00000000-0010-0000-0800-000008000000}" name="Description" dataDxfId="369" totalsRowDxfId="368"/>
    <tableColumn id="2" xr3:uid="{00000000-0010-0000-0800-000002000000}" name="Category" dataDxfId="367" totalsRowDxfId="366"/>
    <tableColumn id="3" xr3:uid="{00000000-0010-0000-0800-000003000000}" name="Withdrawal" totalsRowFunction="sum" dataDxfId="365" totalsRowDxfId="364" dataCellStyle="Comma"/>
    <tableColumn id="4" xr3:uid="{00000000-0010-0000-0800-000004000000}" name="Deposit" totalsRowFunction="sum" dataDxfId="363" totalsRowDxfId="362" dataCellStyle="Comma"/>
    <tableColumn id="5" xr3:uid="{00000000-0010-0000-0800-000005000000}" name="Available Balance" totalsRowFunction="custom" dataDxfId="361" totalsRowDxfId="360" dataCellStyle="Comma">
      <calculatedColumnFormula>IF(ISBLANK(CkReg15_16[[#This Row],[Withdrawal]]),#REF!+CkReg15_16[[#This Row],[Deposit]],#REF!-CkReg15_16[[#This Row],[Withdrawal]])</calculatedColumnFormula>
      <totalsRowFormula>+CkReg15_16[[#Totals],[Deposit]]-CkReg15_16[[#Totals],[Withdrawal]]</totalsRowFormula>
    </tableColumn>
    <tableColumn id="9" xr3:uid="{00000000-0010-0000-0800-000009000000}" name="Cleared" dataDxfId="359" totalsRowDxfId="358"/>
    <tableColumn id="10" xr3:uid="{00000000-0010-0000-0800-00000A000000}" name="Balance per Bank" dataDxfId="357" totalsRowDxfId="356" dataCellStyle="Comma">
      <calculatedColumnFormula>+CkReg15_16[[#This Row],[Available Balance]]</calculatedColumnFormula>
    </tableColumn>
    <tableColumn id="11" xr3:uid="{00000000-0010-0000-0800-00000B000000}" name="Statement End Date" dataDxfId="355" totalsRowDxfId="354"/>
  </tableColumns>
  <tableStyleInfo name="TableStyleLight16"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9000000}" name="CategoryTable81210" displayName="CategoryTable81210" ref="B15:E60" totalsRowShown="0" headerRowDxfId="353" dataDxfId="352">
  <tableColumns count="4">
    <tableColumn id="1" xr3:uid="{00000000-0010-0000-0900-000001000000}" name="Category" dataDxfId="351"/>
    <tableColumn id="2" xr3:uid="{00000000-0010-0000-0900-000002000000}" name="Actual to date" dataDxfId="350">
      <calculatedColumnFormula>SUMIF(MyTransactions[Category],"=" &amp;CategoryTable81210[[#This Row],[Category]],MyTransactions[Withdrawal])</calculatedColumnFormula>
    </tableColumn>
    <tableColumn id="3" xr3:uid="{00000000-0010-0000-0900-000003000000}" name="Budget" dataDxfId="349"/>
    <tableColumn id="4" xr3:uid="{00000000-0010-0000-0900-000004000000}" name="Budget Balance" dataDxfId="348">
      <calculatedColumnFormula>+CategoryTable81210[[#This Row],[Actual to date]]-CategoryTable81210[[#This Row],[Budget]]</calculatedColumnFormula>
    </tableColumn>
  </tableColumns>
  <tableStyleInfo name="CheckRegisterSummary"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A000000}" name="Ckreg14_15" displayName="Ckreg14_15" ref="G2:O175" totalsRowCount="1" headerRowDxfId="347" dataDxfId="346" totalsRowDxfId="345">
  <autoFilter ref="G2:O174" xr:uid="{00000000-0009-0000-0100-00000A000000}"/>
  <sortState xmlns:xlrd2="http://schemas.microsoft.com/office/spreadsheetml/2017/richdata2" ref="G6:O181">
    <sortCondition ref="H5:H181"/>
  </sortState>
  <tableColumns count="9">
    <tableColumn id="1" xr3:uid="{00000000-0010-0000-0A00-000001000000}" name="Check #" dataDxfId="344" totalsRowDxfId="343"/>
    <tableColumn id="6" xr3:uid="{00000000-0010-0000-0A00-000006000000}" name="Date" dataDxfId="342" totalsRowDxfId="341"/>
    <tableColumn id="7" xr3:uid="{00000000-0010-0000-0A00-000007000000}" name="Payee/Description" dataDxfId="340" totalsRowDxfId="339"/>
    <tableColumn id="2" xr3:uid="{00000000-0010-0000-0A00-000002000000}" name="Category" dataDxfId="338" totalsRowDxfId="337"/>
    <tableColumn id="3" xr3:uid="{00000000-0010-0000-0A00-000003000000}" name="Withdrawal" totalsRowFunction="sum" dataDxfId="336" totalsRowDxfId="335" dataCellStyle="Comma"/>
    <tableColumn id="4" xr3:uid="{00000000-0010-0000-0A00-000004000000}" name="Deposit" totalsRowFunction="sum" dataDxfId="334" totalsRowDxfId="333" dataCellStyle="Comma"/>
    <tableColumn id="5" xr3:uid="{00000000-0010-0000-0A00-000005000000}" name="Balance" totalsRowFunction="custom" dataDxfId="332" totalsRowDxfId="331" dataCellStyle="Comma">
      <calculatedColumnFormula>IF(ISBLANK(Ckreg14_15[[#This Row],[Withdrawal]]),#REF!+Ckreg14_15[[#This Row],[Deposit]],#REF!-Ckreg14_15[[#This Row],[Withdrawal]])</calculatedColumnFormula>
      <totalsRowFormula>+Ckreg14_15[[#Totals],[Deposit]]-Ckreg14_15[[#Totals],[Withdrawal]]</totalsRowFormula>
    </tableColumn>
    <tableColumn id="9" xr3:uid="{00000000-0010-0000-0A00-000009000000}" name="Date Cleared" dataDxfId="330" totalsRowDxfId="329"/>
    <tableColumn id="10" xr3:uid="{00000000-0010-0000-0A00-00000A000000}" name="Comments" dataDxfId="328" totalsRowDxfId="327"/>
  </tableColumns>
  <tableStyleInfo name="TableStyleLight16"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CategoryTable812" displayName="CategoryTable812" ref="B6:E54" totalsRowShown="0" headerRowDxfId="326" dataDxfId="325">
  <tableColumns count="4">
    <tableColumn id="1" xr3:uid="{00000000-0010-0000-0B00-000001000000}" name="Category" dataDxfId="324"/>
    <tableColumn id="2" xr3:uid="{00000000-0010-0000-0B00-000002000000}" name="Total" dataDxfId="323">
      <calculatedColumnFormula>SUMIF(Ckreg14_15[Category],"=" &amp;CategoryTable812[[#This Row],[Category]],Ckreg14_15[Deposit])</calculatedColumnFormula>
    </tableColumn>
    <tableColumn id="3" xr3:uid="{00000000-0010-0000-0B00-000003000000}" name="Budget" dataDxfId="322"/>
    <tableColumn id="4" xr3:uid="{00000000-0010-0000-0B00-000004000000}" name="Difference" dataDxfId="321">
      <calculatedColumnFormula>+CategoryTable812[[#This Row],[Total]]-CategoryTable812[[#This Row],[Budget]]</calculatedColumnFormula>
    </tableColumn>
  </tableColumns>
  <tableStyleInfo name="CheckRegisterSummary"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C000000}" name="CkReg13_14" displayName="CkReg13_14" ref="G2:Q158" totalsRowCount="1" headerRowDxfId="320" dataDxfId="319" totalsRowDxfId="318">
  <autoFilter ref="G2:Q157" xr:uid="{00000000-0009-0000-0100-000006000000}"/>
  <sortState xmlns:xlrd2="http://schemas.microsoft.com/office/spreadsheetml/2017/richdata2" ref="G6:Q183">
    <sortCondition ref="H5:H183"/>
  </sortState>
  <tableColumns count="11">
    <tableColumn id="1" xr3:uid="{00000000-0010-0000-0C00-000001000000}" name="Check #" dataDxfId="317" totalsRowDxfId="316"/>
    <tableColumn id="6" xr3:uid="{00000000-0010-0000-0C00-000006000000}" name="Date" dataDxfId="315" totalsRowDxfId="314"/>
    <tableColumn id="7" xr3:uid="{00000000-0010-0000-0C00-000007000000}" name="Payee/Description" dataDxfId="313" totalsRowDxfId="312"/>
    <tableColumn id="2" xr3:uid="{00000000-0010-0000-0C00-000002000000}" name="Category" dataDxfId="311" totalsRowDxfId="310"/>
    <tableColumn id="3" xr3:uid="{00000000-0010-0000-0C00-000003000000}" name="Withdrawal" totalsRowFunction="sum" dataDxfId="309" totalsRowDxfId="308" dataCellStyle="Comma"/>
    <tableColumn id="4" xr3:uid="{00000000-0010-0000-0C00-000004000000}" name="Deposit" totalsRowFunction="sum" dataDxfId="307" totalsRowDxfId="306" dataCellStyle="Comma"/>
    <tableColumn id="5" xr3:uid="{00000000-0010-0000-0C00-000005000000}" name="Balance" totalsRowFunction="custom" dataDxfId="305" totalsRowDxfId="304" dataCellStyle="Comma">
      <calculatedColumnFormula>IF(ISBLANK(CkReg13_14[[#This Row],[Withdrawal]]),#REF!+CkReg13_14[[#This Row],[Deposit]],#REF!-CkReg13_14[[#This Row],[Withdrawal]])</calculatedColumnFormula>
      <totalsRowFormula>+CkReg13_14[[#Totals],[Deposit]]-CkReg13_14[[#Totals],[Withdrawal]]</totalsRowFormula>
    </tableColumn>
    <tableColumn id="8" xr3:uid="{00000000-0010-0000-0C00-000008000000}" name="CLEARED" dataDxfId="303" totalsRowDxfId="302"/>
    <tableColumn id="9" xr3:uid="{00000000-0010-0000-0C00-000009000000}" name="Column2" dataDxfId="301" totalsRowDxfId="300"/>
    <tableColumn id="10" xr3:uid="{00000000-0010-0000-0C00-00000A000000}" name="cleared date" dataDxfId="299" totalsRowDxfId="298"/>
    <tableColumn id="13" xr3:uid="{00000000-0010-0000-0C00-00000D000000}" name="Column6" dataDxfId="297" totalsRowDxfId="296"/>
  </tableColumns>
  <tableStyleInfo name="CheckRegister"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D000000}" name="CategoryTable8" displayName="CategoryTable8" ref="B5:E53" totalsRowShown="0" headerRowDxfId="295" dataDxfId="294">
  <tableColumns count="4">
    <tableColumn id="1" xr3:uid="{00000000-0010-0000-0D00-000001000000}" name="Category" dataDxfId="293"/>
    <tableColumn id="2" xr3:uid="{00000000-0010-0000-0D00-000002000000}" name="Total" dataDxfId="292">
      <calculatedColumnFormula>SUMIF(MyTransactions[Category],"=" &amp;CategoryTable8[[#This Row],[Category]],MyTransactions[Withdrawal])</calculatedColumnFormula>
    </tableColumn>
    <tableColumn id="3" xr3:uid="{00000000-0010-0000-0D00-000003000000}" name="Budget" dataDxfId="291"/>
    <tableColumn id="4" xr3:uid="{00000000-0010-0000-0D00-000004000000}" name="Difference" dataDxfId="290">
      <calculatedColumnFormula>+CategoryTable8[[#This Row],[Total]]-CategoryTable8[[#This Row],[Budget]]</calculatedColumnFormula>
    </tableColumn>
  </tableColumns>
  <tableStyleInfo name="CheckRegisterSummary"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E000000}" name="MyTransactions" displayName="MyTransactions" ref="G5:O136" totalsRowCount="1" headerRowDxfId="289" dataDxfId="288" totalsRowDxfId="287">
  <autoFilter ref="G5:O135" xr:uid="{00000000-0009-0000-0100-000001000000}"/>
  <sortState xmlns:xlrd2="http://schemas.microsoft.com/office/spreadsheetml/2017/richdata2" ref="G6:P152">
    <sortCondition ref="H6:H152"/>
  </sortState>
  <tableColumns count="9">
    <tableColumn id="1" xr3:uid="{00000000-0010-0000-0E00-000001000000}" name="Check #" dataDxfId="286" totalsRowDxfId="285"/>
    <tableColumn id="6" xr3:uid="{00000000-0010-0000-0E00-000006000000}" name="Date" dataDxfId="284" totalsRowDxfId="283"/>
    <tableColumn id="7" xr3:uid="{00000000-0010-0000-0E00-000007000000}" name="Description" dataDxfId="282" totalsRowDxfId="281"/>
    <tableColumn id="2" xr3:uid="{00000000-0010-0000-0E00-000002000000}" name="Category" dataDxfId="280" totalsRowDxfId="279"/>
    <tableColumn id="3" xr3:uid="{00000000-0010-0000-0E00-000003000000}" name="Withdrawal" totalsRowFunction="sum" dataDxfId="278" totalsRowDxfId="277"/>
    <tableColumn id="4" xr3:uid="{00000000-0010-0000-0E00-000004000000}" name="Deposit" totalsRowFunction="sum" dataDxfId="276" totalsRowDxfId="275"/>
    <tableColumn id="5" xr3:uid="{00000000-0010-0000-0E00-000005000000}" name="Balance" totalsRowFunction="custom" dataDxfId="274" totalsRowDxfId="273">
      <calculatedColumnFormula>IF(ISBLANK(MyTransactions[[#This Row],[Withdrawal]]),M5+MyTransactions[[#This Row],[Deposit]],M5-MyTransactions[[#This Row],[Withdrawal]])</calculatedColumnFormula>
      <totalsRowFormula>MyTransactions[[#Totals],[Deposit]]-MyTransactions[[#Totals],[Withdrawal]]</totalsRowFormula>
    </tableColumn>
    <tableColumn id="8" xr3:uid="{00000000-0010-0000-0E00-000008000000}" name="Column1" dataDxfId="272" totalsRowDxfId="271"/>
    <tableColumn id="9" xr3:uid="{00000000-0010-0000-0E00-000009000000}" name="Column2" dataDxfId="270" totalsRowDxfId="269"/>
  </tableColumns>
  <tableStyleInfo name="CheckRegister"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F000000}" name="CategoryTable" displayName="CategoryTable" ref="B15:C61" totalsRowShown="0" headerRowDxfId="268" dataDxfId="267">
  <tableColumns count="2">
    <tableColumn id="1" xr3:uid="{00000000-0010-0000-0F00-000001000000}" name="Category" dataDxfId="266"/>
    <tableColumn id="2" xr3:uid="{00000000-0010-0000-0F00-000002000000}" name="Total" dataDxfId="265">
      <calculatedColumnFormula>SUMIF(MyTransactions[Category],"=" &amp;CategoryTable[[#This Row],[Category]],MyTransactions[Withdrawal])</calculatedColumnFormula>
    </tableColumn>
  </tableColumns>
  <tableStyleInfo name="CheckRegisterSummary"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10000000}" name="CategoryTable6" displayName="CategoryTable6" ref="A2:D47" totalsRowShown="0" headerRowDxfId="264" dataDxfId="263">
  <tableColumns count="4">
    <tableColumn id="1" xr3:uid="{00000000-0010-0000-1000-000001000000}" name="Category" dataDxfId="262"/>
    <tableColumn id="2" xr3:uid="{00000000-0010-0000-1000-000002000000}" name="Total" dataDxfId="261">
      <calculatedColumnFormula>SUMIF(MyTransactions[Category],"=" &amp;CategoryTable6[[#This Row],[Category]],MyTransactions[Withdrawal])</calculatedColumnFormula>
    </tableColumn>
    <tableColumn id="3" xr3:uid="{00000000-0010-0000-1000-000003000000}" name="Budget" dataDxfId="260"/>
    <tableColumn id="4" xr3:uid="{00000000-0010-0000-1000-000004000000}" name="Difference" dataDxfId="259" dataCellStyle="Currency">
      <calculatedColumnFormula>+CategoryTable6[[#This Row],[Budget]]-CategoryTable6[[#This Row],[Total]]</calculatedColumnFormula>
    </tableColumn>
  </tableColumns>
  <tableStyleInfo name="CheckRegisterSummary"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11000000}" name="MyTransactions1" displayName="MyTransactions1" ref="E5:K16" totalsRowCount="1" headerRowDxfId="258">
  <tableColumns count="7">
    <tableColumn id="1" xr3:uid="{00000000-0010-0000-1100-000001000000}" name="Check #" totalsRowLabel="Totals" dataDxfId="257" totalsRowDxfId="256"/>
    <tableColumn id="6" xr3:uid="{00000000-0010-0000-1100-000006000000}" name="Date" dataDxfId="255" totalsRowDxfId="254"/>
    <tableColumn id="7" xr3:uid="{00000000-0010-0000-1100-000007000000}" name="Description" dataDxfId="253" totalsRowDxfId="252"/>
    <tableColumn id="2" xr3:uid="{00000000-0010-0000-1100-000002000000}" name="Category" dataDxfId="251" totalsRowDxfId="250"/>
    <tableColumn id="3" xr3:uid="{00000000-0010-0000-1100-000003000000}" name="Withdrawal" totalsRowFunction="sum" dataDxfId="249" totalsRowDxfId="248"/>
    <tableColumn id="4" xr3:uid="{00000000-0010-0000-1100-000004000000}" name="Deposit" totalsRowFunction="sum" dataDxfId="247" totalsRowDxfId="246"/>
    <tableColumn id="5" xr3:uid="{00000000-0010-0000-1100-000005000000}" name="Balance" totalsRowFunction="custom" dataDxfId="245" totalsRowDxfId="244">
      <calculatedColumnFormula>IF(ISBLANK(MyTransactions1[[#This Row],[Withdrawal]]),K5+MyTransactions1[[#This Row],[Deposit]],K5-MyTransactions1[[#This Row],[Withdrawal]])</calculatedColumnFormula>
      <totalsRowFormula>MyTransactions1[[#Totals],[Deposit]]-MyTransactions1[[#Totals],[Withdrawal]]</totalsRowFormula>
    </tableColumn>
  </tableColumns>
  <tableStyleInfo name="CheckRegister"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12000000}" name="CategoryTable1" displayName="CategoryTable1" ref="B16:C24" totalsRowShown="0" headerRowDxfId="243" dataDxfId="242">
  <tableColumns count="2">
    <tableColumn id="1" xr3:uid="{00000000-0010-0000-1200-000001000000}" name="Category" dataDxfId="241"/>
    <tableColumn id="2" xr3:uid="{00000000-0010-0000-1200-000002000000}" name="Total" dataDxfId="240">
      <calculatedColumnFormula>SUMIF(MyTransactions[Category],"=" &amp;CategoryTable1[[#This Row],[Category]],MyTransactions[Withdrawal])</calculatedColumnFormula>
    </tableColumn>
  </tableColumns>
  <tableStyleInfo name="CheckRegisterSummary" showFirstColumn="0" showLastColumn="0" showRowStripes="1" showColumnStripes="0"/>
</table>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Metro">
  <a:themeElements>
    <a:clrScheme name="Metro">
      <a:dk1>
        <a:sysClr val="windowText" lastClr="000000"/>
      </a:dk1>
      <a:lt1>
        <a:sysClr val="window" lastClr="FFFFFF"/>
      </a:lt1>
      <a:dk2>
        <a:srgbClr val="4E5B6F"/>
      </a:dk2>
      <a:lt2>
        <a:srgbClr val="D6ECFF"/>
      </a:lt2>
      <a:accent1>
        <a:srgbClr val="7FD13B"/>
      </a:accent1>
      <a:accent2>
        <a:srgbClr val="EA157A"/>
      </a:accent2>
      <a:accent3>
        <a:srgbClr val="FEB80A"/>
      </a:accent3>
      <a:accent4>
        <a:srgbClr val="00ADDC"/>
      </a:accent4>
      <a:accent5>
        <a:srgbClr val="738AC8"/>
      </a:accent5>
      <a:accent6>
        <a:srgbClr val="1AB39F"/>
      </a:accent6>
      <a:hlink>
        <a:srgbClr val="EB8803"/>
      </a:hlink>
      <a:folHlink>
        <a:srgbClr val="5F7791"/>
      </a:folHlink>
    </a:clrScheme>
    <a:fontScheme name="Metro">
      <a:majorFont>
        <a:latin typeface="Consolas"/>
        <a:ea typeface=""/>
        <a:cs typeface=""/>
        <a:font script="Jpan" typeface="HG丸ｺﾞｼｯｸM-PRO"/>
        <a:font script="Hang" typeface="HY중고딕"/>
        <a:font script="Hans" typeface="华文楷体"/>
        <a:font script="Hant" typeface="新細明體"/>
        <a:font script="Arab" typeface="Tahoma"/>
        <a:font script="Hebr" typeface="Levenim MT"/>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orbel"/>
        <a:ea typeface=""/>
        <a:cs typeface=""/>
        <a:font script="Jpan" typeface="HGｺﾞｼｯｸM"/>
        <a:font script="Hang" typeface="맑은 고딕"/>
        <a:font script="Hans" typeface="宋体"/>
        <a:font script="Hant" typeface="新細明體"/>
        <a:font script="Arab" typeface="Tahoma"/>
        <a:font script="Hebr" typeface="Miriam"/>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Metro">
      <a:fillStyleLst>
        <a:solidFill>
          <a:schemeClr val="phClr"/>
        </a:solidFill>
        <a:gradFill rotWithShape="1">
          <a:gsLst>
            <a:gs pos="0">
              <a:schemeClr val="phClr">
                <a:tint val="25000"/>
                <a:satMod val="125000"/>
              </a:schemeClr>
            </a:gs>
            <a:gs pos="40000">
              <a:schemeClr val="phClr">
                <a:tint val="55000"/>
                <a:satMod val="130000"/>
              </a:schemeClr>
            </a:gs>
            <a:gs pos="50000">
              <a:schemeClr val="phClr">
                <a:tint val="59000"/>
                <a:satMod val="130000"/>
              </a:schemeClr>
            </a:gs>
            <a:gs pos="65000">
              <a:schemeClr val="phClr">
                <a:tint val="55000"/>
                <a:satMod val="130000"/>
              </a:schemeClr>
            </a:gs>
            <a:gs pos="100000">
              <a:schemeClr val="phClr">
                <a:tint val="20000"/>
                <a:satMod val="125000"/>
              </a:schemeClr>
            </a:gs>
          </a:gsLst>
          <a:lin ang="5400000" scaled="0"/>
        </a:gradFill>
        <a:gradFill rotWithShape="1">
          <a:gsLst>
            <a:gs pos="0">
              <a:schemeClr val="phClr">
                <a:tint val="48000"/>
                <a:satMod val="138000"/>
              </a:schemeClr>
            </a:gs>
            <a:gs pos="25000">
              <a:schemeClr val="phClr">
                <a:tint val="85000"/>
              </a:schemeClr>
            </a:gs>
            <a:gs pos="40000">
              <a:schemeClr val="phClr">
                <a:tint val="92000"/>
              </a:schemeClr>
            </a:gs>
            <a:gs pos="50000">
              <a:schemeClr val="phClr">
                <a:tint val="93000"/>
              </a:schemeClr>
            </a:gs>
            <a:gs pos="60000">
              <a:schemeClr val="phClr">
                <a:tint val="92000"/>
              </a:schemeClr>
            </a:gs>
            <a:gs pos="75000">
              <a:schemeClr val="phClr">
                <a:tint val="83000"/>
                <a:satMod val="108000"/>
              </a:schemeClr>
            </a:gs>
            <a:gs pos="100000">
              <a:schemeClr val="phClr">
                <a:tint val="48000"/>
                <a:satMod val="150000"/>
              </a:schemeClr>
            </a:gs>
          </a:gsLst>
          <a:lin ang="5400000" scaled="0"/>
        </a:gradFill>
      </a:fillStyleLst>
      <a:lnStyleLst>
        <a:ln w="12000" cap="flat" cmpd="sng" algn="ctr">
          <a:solidFill>
            <a:schemeClr val="phClr"/>
          </a:solidFill>
          <a:prstDash val="solid"/>
        </a:ln>
        <a:ln w="19050" cap="flat" cmpd="sng" algn="ctr">
          <a:solidFill>
            <a:schemeClr val="phClr"/>
          </a:solidFill>
          <a:prstDash val="solid"/>
        </a:ln>
        <a:ln w="38100" cap="flat" cmpd="sng" algn="ctr">
          <a:solidFill>
            <a:schemeClr val="phClr"/>
          </a:solidFill>
          <a:prstDash val="solid"/>
        </a:ln>
      </a:lnStyleLst>
      <a:effectStyleLst>
        <a:effectStyle>
          <a:effectLst>
            <a:glow rad="63500">
              <a:schemeClr val="phClr">
                <a:alpha val="45000"/>
                <a:satMod val="120000"/>
              </a:schemeClr>
            </a:glow>
          </a:effectLst>
        </a:effectStyle>
        <a:effectStyle>
          <a:effectLst>
            <a:glow rad="63500">
              <a:schemeClr val="phClr">
                <a:alpha val="45000"/>
                <a:satMod val="120000"/>
              </a:schemeClr>
            </a:glow>
          </a:effectLst>
          <a:scene3d>
            <a:camera prst="orthographicFront" fov="0">
              <a:rot lat="0" lon="0" rev="0"/>
            </a:camera>
            <a:lightRig rig="brightRoom" dir="tl">
              <a:rot lat="0" lon="0" rev="8700000"/>
            </a:lightRig>
          </a:scene3d>
          <a:sp3d>
            <a:bevelT w="0" h="0"/>
            <a:contourClr>
              <a:schemeClr val="phClr">
                <a:tint val="70000"/>
              </a:schemeClr>
            </a:contourClr>
          </a:sp3d>
        </a:effectStyle>
        <a:effectStyle>
          <a:effectLst>
            <a:glow rad="101500">
              <a:schemeClr val="phClr">
                <a:alpha val="42000"/>
                <a:satMod val="120000"/>
              </a:schemeClr>
            </a:glow>
          </a:effectLst>
          <a:scene3d>
            <a:camera prst="orthographicFront" fov="0">
              <a:rot lat="0" lon="0" rev="0"/>
            </a:camera>
            <a:lightRig rig="glow" dir="t">
              <a:rot lat="0" lon="0" rev="4800000"/>
            </a:lightRig>
          </a:scene3d>
          <a:sp3d prstMaterial="powder">
            <a:bevelT w="50800" h="50800"/>
            <a:contourClr>
              <a:schemeClr val="phClr"/>
            </a:contourClr>
          </a:sp3d>
        </a:effectStyle>
      </a:effectStyleLst>
      <a:bgFillStyleLst>
        <a:solidFill>
          <a:schemeClr val="phClr"/>
        </a:solidFill>
        <a:gradFill rotWithShape="1">
          <a:gsLst>
            <a:gs pos="0">
              <a:schemeClr val="bg1">
                <a:shade val="100000"/>
                <a:satMod val="150000"/>
              </a:schemeClr>
            </a:gs>
            <a:gs pos="65000">
              <a:schemeClr val="bg1">
                <a:shade val="90000"/>
                <a:satMod val="375000"/>
              </a:schemeClr>
            </a:gs>
            <a:gs pos="100000">
              <a:schemeClr val="phClr">
                <a:tint val="88000"/>
                <a:satMod val="400000"/>
              </a:schemeClr>
            </a:gs>
          </a:gsLst>
          <a:lin ang="5400000" scaled="0"/>
        </a:gradFill>
        <a:blipFill>
          <a:blip xmlns:r="http://schemas.openxmlformats.org/officeDocument/2006/relationships" r:embed="rId1">
            <a:duotone>
              <a:schemeClr val="phClr">
                <a:shade val="40000"/>
                <a:satMod val="180000"/>
              </a:schemeClr>
              <a:schemeClr val="phClr">
                <a:tint val="90000"/>
                <a:satMod val="200000"/>
              </a:schemeClr>
            </a:duotone>
          </a:blip>
          <a:tile tx="0" ty="0" sx="80000" sy="80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table" Target="../tables/table6.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4.xml"/><Relationship Id="rId1" Type="http://schemas.openxmlformats.org/officeDocument/2006/relationships/printerSettings" Target="../printerSettings/printerSettings9.bin"/><Relationship Id="rId4" Type="http://schemas.openxmlformats.org/officeDocument/2006/relationships/table" Target="../tables/table8.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5.xml"/><Relationship Id="rId1" Type="http://schemas.openxmlformats.org/officeDocument/2006/relationships/printerSettings" Target="../printerSettings/printerSettings10.bin"/><Relationship Id="rId4"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6.xml"/><Relationship Id="rId1" Type="http://schemas.openxmlformats.org/officeDocument/2006/relationships/printerSettings" Target="../printerSettings/printerSettings11.bin"/><Relationship Id="rId4" Type="http://schemas.openxmlformats.org/officeDocument/2006/relationships/table" Target="../tables/table1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7.xml"/><Relationship Id="rId1" Type="http://schemas.openxmlformats.org/officeDocument/2006/relationships/printerSettings" Target="../printerSettings/printerSettings13.bin"/><Relationship Id="rId4" Type="http://schemas.openxmlformats.org/officeDocument/2006/relationships/table" Target="../tables/table14.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8.xml"/><Relationship Id="rId1" Type="http://schemas.openxmlformats.org/officeDocument/2006/relationships/printerSettings" Target="../printerSettings/printerSettings14.bin"/><Relationship Id="rId4" Type="http://schemas.openxmlformats.org/officeDocument/2006/relationships/table" Target="../tables/table16.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9.xml"/><Relationship Id="rId1" Type="http://schemas.openxmlformats.org/officeDocument/2006/relationships/printerSettings" Target="../printerSettings/printerSettings15.bin"/><Relationship Id="rId4" Type="http://schemas.openxmlformats.org/officeDocument/2006/relationships/table" Target="../tables/table18.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10.xml"/><Relationship Id="rId1" Type="http://schemas.openxmlformats.org/officeDocument/2006/relationships/printerSettings" Target="../printerSettings/printerSettings16.bin"/><Relationship Id="rId4" Type="http://schemas.openxmlformats.org/officeDocument/2006/relationships/table" Target="../tables/table20.xml"/></Relationships>
</file>

<file path=xl/worksheets/_rels/sheet18.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11.xml"/><Relationship Id="rId1" Type="http://schemas.openxmlformats.org/officeDocument/2006/relationships/printerSettings" Target="../printerSettings/printerSettings18.bin"/><Relationship Id="rId4" Type="http://schemas.openxmlformats.org/officeDocument/2006/relationships/table" Target="../tables/table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84960-ABCB-4D7E-BDAC-2EF6B1F8EC32}">
  <dimension ref="A1:C76"/>
  <sheetViews>
    <sheetView workbookViewId="0">
      <selection activeCell="B4" sqref="A1:C69"/>
    </sheetView>
  </sheetViews>
  <sheetFormatPr defaultColWidth="9.109375" defaultRowHeight="15" x14ac:dyDescent="0.25"/>
  <cols>
    <col min="1" max="1" width="12.44140625" style="494" bestFit="1" customWidth="1"/>
    <col min="2" max="2" width="23.109375" style="494" bestFit="1" customWidth="1"/>
    <col min="3" max="3" width="12.88671875" style="495" bestFit="1" customWidth="1"/>
    <col min="4" max="16384" width="9.109375" style="494"/>
  </cols>
  <sheetData>
    <row r="1" spans="1:3" x14ac:dyDescent="0.25">
      <c r="A1" s="494" t="s">
        <v>972</v>
      </c>
      <c r="B1" s="494" t="s">
        <v>961</v>
      </c>
      <c r="C1" s="495">
        <v>13647.04</v>
      </c>
    </row>
    <row r="2" spans="1:3" x14ac:dyDescent="0.25">
      <c r="B2" s="494" t="s">
        <v>973</v>
      </c>
      <c r="C2" s="495">
        <f>100+460.98</f>
        <v>560.98</v>
      </c>
    </row>
    <row r="3" spans="1:3" x14ac:dyDescent="0.25">
      <c r="B3" s="494" t="s">
        <v>974</v>
      </c>
      <c r="C3" s="495">
        <v>0</v>
      </c>
    </row>
    <row r="4" spans="1:3" x14ac:dyDescent="0.25">
      <c r="B4" s="494" t="s">
        <v>975</v>
      </c>
      <c r="C4" s="495">
        <f>+C1-C2+C3</f>
        <v>13086.060000000001</v>
      </c>
    </row>
    <row r="5" spans="1:3" x14ac:dyDescent="0.25">
      <c r="B5" s="494" t="s">
        <v>957</v>
      </c>
      <c r="C5" s="495">
        <v>13086.06</v>
      </c>
    </row>
    <row r="6" spans="1:3" x14ac:dyDescent="0.25">
      <c r="B6" s="494" t="s">
        <v>76</v>
      </c>
      <c r="C6" s="495">
        <f>+C4-C5</f>
        <v>0</v>
      </c>
    </row>
    <row r="8" spans="1:3" x14ac:dyDescent="0.25">
      <c r="A8" s="494" t="s">
        <v>971</v>
      </c>
      <c r="B8" s="494" t="s">
        <v>961</v>
      </c>
      <c r="C8" s="495">
        <v>13215.54</v>
      </c>
    </row>
    <row r="9" spans="1:3" x14ac:dyDescent="0.25">
      <c r="B9" s="494" t="s">
        <v>973</v>
      </c>
      <c r="C9" s="495">
        <f>100+200+290</f>
        <v>590</v>
      </c>
    </row>
    <row r="10" spans="1:3" x14ac:dyDescent="0.25">
      <c r="B10" s="494" t="s">
        <v>974</v>
      </c>
    </row>
    <row r="11" spans="1:3" x14ac:dyDescent="0.25">
      <c r="B11" s="494" t="s">
        <v>975</v>
      </c>
      <c r="C11" s="495">
        <f>+C8-C9+C10</f>
        <v>12625.54</v>
      </c>
    </row>
    <row r="12" spans="1:3" x14ac:dyDescent="0.25">
      <c r="B12" s="494" t="s">
        <v>957</v>
      </c>
      <c r="C12" s="495">
        <v>12625.54</v>
      </c>
    </row>
    <row r="13" spans="1:3" x14ac:dyDescent="0.25">
      <c r="B13" s="494" t="s">
        <v>76</v>
      </c>
      <c r="C13" s="495">
        <f>+C11-C12</f>
        <v>0</v>
      </c>
    </row>
    <row r="15" spans="1:3" x14ac:dyDescent="0.25">
      <c r="A15" s="494" t="s">
        <v>970</v>
      </c>
      <c r="B15" s="494" t="s">
        <v>961</v>
      </c>
      <c r="C15" s="495">
        <v>13016.09</v>
      </c>
    </row>
    <row r="16" spans="1:3" x14ac:dyDescent="0.25">
      <c r="B16" s="494" t="s">
        <v>973</v>
      </c>
      <c r="C16" s="495">
        <f>100+290</f>
        <v>390</v>
      </c>
    </row>
    <row r="17" spans="1:3" x14ac:dyDescent="0.25">
      <c r="B17" s="494" t="s">
        <v>974</v>
      </c>
    </row>
    <row r="18" spans="1:3" x14ac:dyDescent="0.25">
      <c r="B18" s="494" t="s">
        <v>975</v>
      </c>
      <c r="C18" s="495">
        <f>+C15-C16+C17</f>
        <v>12626.09</v>
      </c>
    </row>
    <row r="19" spans="1:3" x14ac:dyDescent="0.25">
      <c r="B19" s="494" t="s">
        <v>957</v>
      </c>
      <c r="C19" s="495">
        <v>12626.09</v>
      </c>
    </row>
    <row r="20" spans="1:3" x14ac:dyDescent="0.25">
      <c r="B20" s="494" t="s">
        <v>76</v>
      </c>
      <c r="C20" s="495">
        <f>+C18-C19</f>
        <v>0</v>
      </c>
    </row>
    <row r="22" spans="1:3" x14ac:dyDescent="0.25">
      <c r="A22" s="494" t="s">
        <v>969</v>
      </c>
      <c r="B22" s="494" t="s">
        <v>961</v>
      </c>
      <c r="C22" s="495">
        <v>13016.62</v>
      </c>
    </row>
    <row r="23" spans="1:3" x14ac:dyDescent="0.25">
      <c r="B23" s="494" t="s">
        <v>973</v>
      </c>
      <c r="C23" s="495">
        <f>100+290+106</f>
        <v>496</v>
      </c>
    </row>
    <row r="24" spans="1:3" x14ac:dyDescent="0.25">
      <c r="B24" s="494" t="s">
        <v>974</v>
      </c>
    </row>
    <row r="25" spans="1:3" x14ac:dyDescent="0.25">
      <c r="B25" s="494" t="s">
        <v>975</v>
      </c>
      <c r="C25" s="495">
        <f>+C22-C23+C24</f>
        <v>12520.62</v>
      </c>
    </row>
    <row r="26" spans="1:3" x14ac:dyDescent="0.25">
      <c r="B26" s="494" t="s">
        <v>957</v>
      </c>
      <c r="C26" s="495">
        <v>12520.62</v>
      </c>
    </row>
    <row r="27" spans="1:3" x14ac:dyDescent="0.25">
      <c r="B27" s="494" t="s">
        <v>76</v>
      </c>
      <c r="C27" s="495">
        <f>+C25-C26</f>
        <v>0</v>
      </c>
    </row>
    <row r="29" spans="1:3" x14ac:dyDescent="0.25">
      <c r="A29" s="494" t="s">
        <v>968</v>
      </c>
      <c r="B29" s="494" t="s">
        <v>961</v>
      </c>
      <c r="C29" s="495">
        <v>12911.16</v>
      </c>
    </row>
    <row r="30" spans="1:3" x14ac:dyDescent="0.25">
      <c r="B30" s="494" t="s">
        <v>973</v>
      </c>
      <c r="C30" s="495">
        <f>100+290</f>
        <v>390</v>
      </c>
    </row>
    <row r="31" spans="1:3" x14ac:dyDescent="0.25">
      <c r="B31" s="494" t="s">
        <v>974</v>
      </c>
    </row>
    <row r="32" spans="1:3" x14ac:dyDescent="0.25">
      <c r="B32" s="494" t="s">
        <v>975</v>
      </c>
      <c r="C32" s="495">
        <f>+C29-C30+C31</f>
        <v>12521.16</v>
      </c>
    </row>
    <row r="33" spans="1:3" x14ac:dyDescent="0.25">
      <c r="B33" s="494" t="s">
        <v>957</v>
      </c>
      <c r="C33" s="495">
        <v>12521.16</v>
      </c>
    </row>
    <row r="34" spans="1:3" x14ac:dyDescent="0.25">
      <c r="B34" s="494" t="s">
        <v>76</v>
      </c>
      <c r="C34" s="495">
        <f>+C32-C33</f>
        <v>0</v>
      </c>
    </row>
    <row r="36" spans="1:3" x14ac:dyDescent="0.25">
      <c r="A36" s="494" t="s">
        <v>967</v>
      </c>
      <c r="B36" s="494" t="s">
        <v>961</v>
      </c>
      <c r="C36" s="495">
        <v>12911.49</v>
      </c>
    </row>
    <row r="37" spans="1:3" x14ac:dyDescent="0.25">
      <c r="B37" s="494" t="s">
        <v>973</v>
      </c>
      <c r="C37" s="495">
        <f>100+290</f>
        <v>390</v>
      </c>
    </row>
    <row r="38" spans="1:3" x14ac:dyDescent="0.25">
      <c r="B38" s="494" t="s">
        <v>974</v>
      </c>
    </row>
    <row r="39" spans="1:3" x14ac:dyDescent="0.25">
      <c r="B39" s="494" t="s">
        <v>975</v>
      </c>
      <c r="C39" s="495">
        <f>+C36-C37+C38</f>
        <v>12521.49</v>
      </c>
    </row>
    <row r="40" spans="1:3" x14ac:dyDescent="0.25">
      <c r="B40" s="494" t="s">
        <v>957</v>
      </c>
      <c r="C40" s="495">
        <v>12521.49</v>
      </c>
    </row>
    <row r="41" spans="1:3" x14ac:dyDescent="0.25">
      <c r="B41" s="494" t="s">
        <v>76</v>
      </c>
      <c r="C41" s="495">
        <f>+C39-C40</f>
        <v>0</v>
      </c>
    </row>
    <row r="43" spans="1:3" x14ac:dyDescent="0.25">
      <c r="A43" s="494" t="s">
        <v>966</v>
      </c>
      <c r="B43" s="494" t="s">
        <v>961</v>
      </c>
      <c r="C43" s="495">
        <v>12911.59</v>
      </c>
    </row>
    <row r="44" spans="1:3" x14ac:dyDescent="0.25">
      <c r="B44" s="494" t="s">
        <v>973</v>
      </c>
      <c r="C44" s="495">
        <f>100+290</f>
        <v>390</v>
      </c>
    </row>
    <row r="45" spans="1:3" x14ac:dyDescent="0.25">
      <c r="B45" s="494" t="s">
        <v>974</v>
      </c>
      <c r="C45" s="495">
        <v>132</v>
      </c>
    </row>
    <row r="46" spans="1:3" x14ac:dyDescent="0.25">
      <c r="B46" s="494" t="s">
        <v>975</v>
      </c>
      <c r="C46" s="495">
        <f>+C43-C44+C45</f>
        <v>12653.59</v>
      </c>
    </row>
    <row r="47" spans="1:3" x14ac:dyDescent="0.25">
      <c r="B47" s="494" t="s">
        <v>957</v>
      </c>
      <c r="C47" s="495">
        <v>12653.59</v>
      </c>
    </row>
    <row r="48" spans="1:3" x14ac:dyDescent="0.25">
      <c r="B48" s="494" t="s">
        <v>76</v>
      </c>
      <c r="C48" s="495">
        <f>+C46-C47</f>
        <v>0</v>
      </c>
    </row>
    <row r="50" spans="1:3" x14ac:dyDescent="0.25">
      <c r="A50" s="494" t="s">
        <v>965</v>
      </c>
      <c r="B50" s="494" t="s">
        <v>961</v>
      </c>
      <c r="C50" s="495">
        <v>13043.7</v>
      </c>
    </row>
    <row r="51" spans="1:3" x14ac:dyDescent="0.25">
      <c r="B51" s="494" t="s">
        <v>973</v>
      </c>
      <c r="C51" s="495">
        <f>100+290</f>
        <v>390</v>
      </c>
    </row>
    <row r="52" spans="1:3" x14ac:dyDescent="0.25">
      <c r="B52" s="494" t="s">
        <v>974</v>
      </c>
    </row>
    <row r="53" spans="1:3" x14ac:dyDescent="0.25">
      <c r="B53" s="494" t="s">
        <v>975</v>
      </c>
      <c r="C53" s="495">
        <f>+C50-C51+C52</f>
        <v>12653.7</v>
      </c>
    </row>
    <row r="54" spans="1:3" x14ac:dyDescent="0.25">
      <c r="B54" s="494" t="s">
        <v>957</v>
      </c>
      <c r="C54" s="495">
        <v>12653.7</v>
      </c>
    </row>
    <row r="55" spans="1:3" x14ac:dyDescent="0.25">
      <c r="B55" s="494" t="s">
        <v>76</v>
      </c>
      <c r="C55" s="495">
        <f>+C53-C54</f>
        <v>0</v>
      </c>
    </row>
    <row r="57" spans="1:3" x14ac:dyDescent="0.25">
      <c r="A57" s="494" t="s">
        <v>964</v>
      </c>
      <c r="B57" s="494" t="s">
        <v>961</v>
      </c>
      <c r="C57" s="495">
        <v>13043.8</v>
      </c>
    </row>
    <row r="58" spans="1:3" x14ac:dyDescent="0.25">
      <c r="B58" s="494" t="s">
        <v>973</v>
      </c>
      <c r="C58" s="495">
        <f>100+290</f>
        <v>390</v>
      </c>
    </row>
    <row r="59" spans="1:3" x14ac:dyDescent="0.25">
      <c r="B59" s="494" t="s">
        <v>974</v>
      </c>
    </row>
    <row r="60" spans="1:3" x14ac:dyDescent="0.25">
      <c r="B60" s="494" t="s">
        <v>975</v>
      </c>
      <c r="C60" s="495">
        <f>+C57-C58+C59</f>
        <v>12653.8</v>
      </c>
    </row>
    <row r="61" spans="1:3" x14ac:dyDescent="0.25">
      <c r="B61" s="494" t="s">
        <v>957</v>
      </c>
      <c r="C61" s="495">
        <v>12653.8</v>
      </c>
    </row>
    <row r="62" spans="1:3" x14ac:dyDescent="0.25">
      <c r="B62" s="494" t="s">
        <v>76</v>
      </c>
      <c r="C62" s="495">
        <f>+C60-C61</f>
        <v>0</v>
      </c>
    </row>
    <row r="64" spans="1:3" x14ac:dyDescent="0.25">
      <c r="A64" s="494" t="s">
        <v>963</v>
      </c>
      <c r="B64" s="494" t="s">
        <v>961</v>
      </c>
      <c r="C64" s="495">
        <v>13116.13</v>
      </c>
    </row>
    <row r="65" spans="1:3" x14ac:dyDescent="0.25">
      <c r="B65" s="494" t="s">
        <v>973</v>
      </c>
      <c r="C65" s="495">
        <f>100+290</f>
        <v>390</v>
      </c>
    </row>
    <row r="66" spans="1:3" x14ac:dyDescent="0.25">
      <c r="B66" s="494" t="s">
        <v>974</v>
      </c>
    </row>
    <row r="67" spans="1:3" x14ac:dyDescent="0.25">
      <c r="B67" s="494" t="s">
        <v>975</v>
      </c>
      <c r="C67" s="495">
        <f>+C64-C65+C66</f>
        <v>12726.13</v>
      </c>
    </row>
    <row r="68" spans="1:3" x14ac:dyDescent="0.25">
      <c r="B68" s="494" t="s">
        <v>957</v>
      </c>
      <c r="C68" s="495">
        <v>12726.13</v>
      </c>
    </row>
    <row r="69" spans="1:3" x14ac:dyDescent="0.25">
      <c r="B69" s="494" t="s">
        <v>76</v>
      </c>
      <c r="C69" s="495">
        <f>+C67-C68</f>
        <v>0</v>
      </c>
    </row>
    <row r="71" spans="1:3" x14ac:dyDescent="0.25">
      <c r="A71" s="494" t="s">
        <v>962</v>
      </c>
      <c r="B71" s="494" t="s">
        <v>961</v>
      </c>
    </row>
    <row r="72" spans="1:3" x14ac:dyDescent="0.25">
      <c r="B72" s="494" t="s">
        <v>960</v>
      </c>
    </row>
    <row r="73" spans="1:3" x14ac:dyDescent="0.25">
      <c r="B73" s="494" t="s">
        <v>959</v>
      </c>
    </row>
    <row r="74" spans="1:3" x14ac:dyDescent="0.25">
      <c r="B74" s="494" t="s">
        <v>958</v>
      </c>
      <c r="C74" s="495">
        <f>+C71-C72+C73</f>
        <v>0</v>
      </c>
    </row>
    <row r="75" spans="1:3" x14ac:dyDescent="0.25">
      <c r="B75" s="494" t="s">
        <v>957</v>
      </c>
    </row>
    <row r="76" spans="1:3" x14ac:dyDescent="0.25">
      <c r="B76" s="494" t="s">
        <v>76</v>
      </c>
      <c r="C76" s="495">
        <f>+C74-C75</f>
        <v>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3B588-7899-4713-B9ED-6D74DFE5FFC1}">
  <sheetPr>
    <tabColor theme="5" tint="0.39997558519241921"/>
    <pageSetUpPr fitToPage="1"/>
  </sheetPr>
  <dimension ref="A1:T546"/>
  <sheetViews>
    <sheetView showGridLines="0" showRuler="0" topLeftCell="E1" zoomScale="93" zoomScaleNormal="93" workbookViewId="0">
      <selection activeCell="F10" sqref="F10"/>
    </sheetView>
  </sheetViews>
  <sheetFormatPr defaultColWidth="9.109375" defaultRowHeight="13.8" x14ac:dyDescent="0.3"/>
  <cols>
    <col min="1" max="1" width="5.44140625" style="96" customWidth="1"/>
    <col min="2" max="2" width="26.44140625" style="96" customWidth="1"/>
    <col min="3" max="4" width="13.33203125" style="96" customWidth="1"/>
    <col min="5" max="5" width="14.88671875" style="96" bestFit="1" customWidth="1"/>
    <col min="6" max="6" width="13.33203125" style="96" customWidth="1"/>
    <col min="7" max="7" width="3" style="96" customWidth="1"/>
    <col min="8" max="8" width="11" style="87" customWidth="1"/>
    <col min="9" max="9" width="11" style="440" customWidth="1"/>
    <col min="10" max="10" width="26" style="87" bestFit="1" customWidth="1"/>
    <col min="11" max="11" width="29.109375" style="87" customWidth="1"/>
    <col min="12" max="12" width="22.6640625" style="87" bestFit="1" customWidth="1"/>
    <col min="13" max="13" width="11" style="87" customWidth="1"/>
    <col min="14" max="15" width="11" style="99" customWidth="1"/>
    <col min="16" max="16" width="11" style="440" customWidth="1"/>
    <col min="17" max="17" width="11" style="436" customWidth="1"/>
    <col min="18" max="18" width="10.33203125" style="440" customWidth="1"/>
    <col min="19" max="19" width="9.109375" style="96"/>
    <col min="20" max="20" width="10" style="96" bestFit="1" customWidth="1"/>
    <col min="21" max="16384" width="9.109375" style="96"/>
  </cols>
  <sheetData>
    <row r="1" spans="2:18" x14ac:dyDescent="0.3">
      <c r="C1" s="420"/>
      <c r="D1" s="420"/>
      <c r="E1" s="420"/>
      <c r="F1" s="420"/>
      <c r="G1" s="420"/>
      <c r="H1" s="421" t="s">
        <v>955</v>
      </c>
      <c r="I1" s="423"/>
      <c r="J1" s="421"/>
      <c r="K1" s="421"/>
      <c r="L1" s="422"/>
      <c r="M1" s="422" t="s">
        <v>440</v>
      </c>
      <c r="N1" s="423">
        <f ca="1">NOW()</f>
        <v>44534.888377430558</v>
      </c>
      <c r="O1" s="432"/>
      <c r="P1" s="437"/>
      <c r="Q1" s="434"/>
      <c r="R1" s="437"/>
    </row>
    <row r="2" spans="2:18" ht="27.6" x14ac:dyDescent="0.3">
      <c r="B2" s="420"/>
      <c r="C2" s="420"/>
      <c r="D2" s="420"/>
      <c r="E2" s="420"/>
      <c r="F2" s="420"/>
      <c r="G2" s="420"/>
      <c r="H2" s="303" t="s">
        <v>12</v>
      </c>
      <c r="I2" s="438" t="s">
        <v>1</v>
      </c>
      <c r="J2" s="303" t="s">
        <v>1070</v>
      </c>
      <c r="K2" s="303" t="s">
        <v>2</v>
      </c>
      <c r="L2" s="303" t="s">
        <v>4</v>
      </c>
      <c r="M2" s="303" t="s">
        <v>21</v>
      </c>
      <c r="N2" s="450" t="s">
        <v>11</v>
      </c>
      <c r="O2" s="433" t="s">
        <v>407</v>
      </c>
      <c r="P2" s="438" t="s">
        <v>406</v>
      </c>
      <c r="Q2" s="435" t="s">
        <v>408</v>
      </c>
      <c r="R2" s="438" t="s">
        <v>625</v>
      </c>
    </row>
    <row r="3" spans="2:18" ht="14.4" customHeight="1" x14ac:dyDescent="0.3">
      <c r="B3" s="420"/>
      <c r="C3" s="420"/>
      <c r="D3" s="420"/>
      <c r="E3" s="420"/>
      <c r="F3" s="420"/>
      <c r="G3" s="420"/>
      <c r="H3" s="286"/>
      <c r="I3" s="383">
        <v>44562</v>
      </c>
      <c r="J3" s="285" t="s">
        <v>5</v>
      </c>
      <c r="K3" s="285"/>
      <c r="L3" s="285" t="s">
        <v>5</v>
      </c>
      <c r="M3" s="446"/>
      <c r="N3" s="496">
        <v>13364.79</v>
      </c>
      <c r="O3" s="451">
        <f>+CkReg2022[[#This Row],[Deposit]]</f>
        <v>13364.79</v>
      </c>
      <c r="P3" s="376"/>
      <c r="Q3" s="457">
        <v>13364.79</v>
      </c>
      <c r="R3" s="376">
        <v>1</v>
      </c>
    </row>
    <row r="4" spans="2:18" ht="14.4" customHeight="1" x14ac:dyDescent="0.3">
      <c r="B4" s="420"/>
      <c r="C4" s="420"/>
      <c r="D4" s="420"/>
      <c r="E4" s="420"/>
      <c r="F4" s="420"/>
      <c r="G4" s="420"/>
      <c r="H4" s="286"/>
      <c r="I4" s="383"/>
      <c r="J4" s="285"/>
      <c r="K4" s="285"/>
      <c r="L4" s="285"/>
      <c r="M4" s="446"/>
      <c r="N4" s="496"/>
      <c r="O4" s="451">
        <f>IF(ISBLANK(CkReg2022[[#This Row],[Withdrawal]]),O3+CkReg2022[[#This Row],[Deposit]],O3-CkReg2022[[#This Row],[Withdrawal]])</f>
        <v>13364.79</v>
      </c>
      <c r="P4" s="376"/>
      <c r="Q4" s="451">
        <f>IF(ISBLANK(CkReg2022[[#This Row],[Withdrawal]]),Q3+CkReg2022[[#This Row],[Deposit]],Q3-CkReg2022[[#This Row],[Withdrawal]])</f>
        <v>13364.79</v>
      </c>
      <c r="R4" s="376">
        <v>1</v>
      </c>
    </row>
    <row r="5" spans="2:18" ht="14.4" customHeight="1" x14ac:dyDescent="0.3">
      <c r="B5" s="420"/>
      <c r="C5" s="420"/>
      <c r="D5" s="420"/>
      <c r="E5" s="420"/>
      <c r="F5" s="420"/>
      <c r="G5" s="420"/>
      <c r="H5" s="286"/>
      <c r="I5" s="383"/>
      <c r="J5" s="285"/>
      <c r="K5" s="285"/>
      <c r="L5" s="285"/>
      <c r="M5" s="446"/>
      <c r="N5" s="496"/>
      <c r="O5" s="451">
        <f>IF(ISBLANK(CkReg2022[[#This Row],[Withdrawal]]),O4+CkReg2022[[#This Row],[Deposit]],O4-CkReg2022[[#This Row],[Withdrawal]])</f>
        <v>13364.79</v>
      </c>
      <c r="P5" s="376"/>
      <c r="Q5" s="451">
        <f>IF(ISBLANK(CkReg2022[[#This Row],[Withdrawal]]),Q4+CkReg2022[[#This Row],[Deposit]],Q4-CkReg2022[[#This Row],[Withdrawal]])</f>
        <v>13364.79</v>
      </c>
      <c r="R5" s="376">
        <v>1</v>
      </c>
    </row>
    <row r="6" spans="2:18" ht="14.4" customHeight="1" x14ac:dyDescent="0.3">
      <c r="B6" s="420"/>
      <c r="C6" s="420"/>
      <c r="D6" s="420"/>
      <c r="E6" s="420"/>
      <c r="F6" s="420"/>
      <c r="G6" s="420"/>
      <c r="H6" s="286"/>
      <c r="I6" s="383"/>
      <c r="J6" s="285"/>
      <c r="K6" s="285"/>
      <c r="L6" s="285"/>
      <c r="M6" s="446"/>
      <c r="N6" s="496"/>
      <c r="O6" s="451">
        <f>IF(ISBLANK(CkReg2022[[#This Row],[Withdrawal]]),O5+CkReg2022[[#This Row],[Deposit]],O5-CkReg2022[[#This Row],[Withdrawal]])</f>
        <v>13364.79</v>
      </c>
      <c r="P6" s="376"/>
      <c r="Q6" s="451">
        <f>IF(ISBLANK(CkReg2022[[#This Row],[Withdrawal]]),Q5+CkReg2022[[#This Row],[Deposit]],Q5-CkReg2022[[#This Row],[Withdrawal]])</f>
        <v>13364.79</v>
      </c>
      <c r="R6" s="376">
        <v>1</v>
      </c>
    </row>
    <row r="7" spans="2:18" ht="14.4" customHeight="1" x14ac:dyDescent="0.3">
      <c r="B7" s="420"/>
      <c r="C7" s="420"/>
      <c r="D7" s="420"/>
      <c r="E7" s="420"/>
      <c r="F7" s="420"/>
      <c r="G7" s="420"/>
      <c r="H7" s="286"/>
      <c r="I7" s="383"/>
      <c r="J7" s="285"/>
      <c r="K7" s="285"/>
      <c r="L7" s="285"/>
      <c r="M7" s="446"/>
      <c r="N7" s="496"/>
      <c r="O7" s="451">
        <f>IF(ISBLANK(CkReg2022[[#This Row],[Withdrawal]]),O6+CkReg2022[[#This Row],[Deposit]],O6-CkReg2022[[#This Row],[Withdrawal]])</f>
        <v>13364.79</v>
      </c>
      <c r="P7" s="376"/>
      <c r="Q7" s="451">
        <f>IF(ISBLANK(CkReg2022[[#This Row],[Withdrawal]]),Q6+CkReg2022[[#This Row],[Deposit]],Q6-CkReg2022[[#This Row],[Withdrawal]])</f>
        <v>13364.79</v>
      </c>
      <c r="R7" s="376">
        <v>1</v>
      </c>
    </row>
    <row r="8" spans="2:18" ht="14.4" customHeight="1" x14ac:dyDescent="0.3">
      <c r="B8" s="420"/>
      <c r="C8" s="420"/>
      <c r="D8" s="420"/>
      <c r="E8" s="420"/>
      <c r="F8" s="420"/>
      <c r="G8" s="420"/>
      <c r="H8" s="286"/>
      <c r="I8" s="383"/>
      <c r="J8" s="285"/>
      <c r="K8" s="285"/>
      <c r="L8" s="285"/>
      <c r="M8" s="446"/>
      <c r="N8" s="496"/>
      <c r="O8" s="451">
        <f>IF(ISBLANK(CkReg2022[[#This Row],[Withdrawal]]),O7+CkReg2022[[#This Row],[Deposit]],O7-CkReg2022[[#This Row],[Withdrawal]])</f>
        <v>13364.79</v>
      </c>
      <c r="P8" s="376"/>
      <c r="Q8" s="451">
        <v>13364.79</v>
      </c>
      <c r="R8" s="376">
        <v>1</v>
      </c>
    </row>
    <row r="9" spans="2:18" ht="14.4" customHeight="1" x14ac:dyDescent="0.3">
      <c r="B9" s="420"/>
      <c r="C9" s="420"/>
      <c r="D9" s="420"/>
      <c r="E9" s="420"/>
      <c r="F9" s="420"/>
      <c r="G9" s="420"/>
      <c r="H9" s="286"/>
      <c r="I9" s="383"/>
      <c r="J9" s="285"/>
      <c r="K9" s="285"/>
      <c r="L9" s="285"/>
      <c r="M9" s="446"/>
      <c r="N9" s="496"/>
      <c r="O9" s="451">
        <f>IF(ISBLANK(CkReg2022[[#This Row],[Withdrawal]]),O8+CkReg2022[[#This Row],[Deposit]],O8-CkReg2022[[#This Row],[Withdrawal]])</f>
        <v>13364.79</v>
      </c>
      <c r="P9" s="376"/>
      <c r="Q9" s="451">
        <v>13364.79</v>
      </c>
      <c r="R9" s="376">
        <v>1</v>
      </c>
    </row>
    <row r="10" spans="2:18" ht="14.4" customHeight="1" x14ac:dyDescent="0.3">
      <c r="B10" s="420"/>
      <c r="C10" s="420"/>
      <c r="D10" s="420"/>
      <c r="E10" s="420"/>
      <c r="F10" s="420"/>
      <c r="G10" s="420"/>
      <c r="H10" s="286"/>
      <c r="I10" s="383"/>
      <c r="J10" s="285"/>
      <c r="K10" s="285"/>
      <c r="L10" s="285"/>
      <c r="M10" s="446"/>
      <c r="N10" s="496"/>
      <c r="O10" s="451">
        <f>IF(ISBLANK(CkReg2022[[#This Row],[Withdrawal]]),O9+CkReg2022[[#This Row],[Deposit]],O9-CkReg2022[[#This Row],[Withdrawal]])</f>
        <v>13364.79</v>
      </c>
      <c r="P10" s="376"/>
      <c r="Q10" s="451">
        <v>13364.79</v>
      </c>
      <c r="R10" s="376">
        <v>1</v>
      </c>
    </row>
    <row r="11" spans="2:18" ht="14.4" customHeight="1" x14ac:dyDescent="0.3">
      <c r="B11" s="420"/>
      <c r="C11" s="420"/>
      <c r="D11" s="420"/>
      <c r="E11" s="420"/>
      <c r="F11" s="420"/>
      <c r="G11" s="420"/>
      <c r="H11" s="499"/>
      <c r="I11" s="500"/>
      <c r="J11" s="501"/>
      <c r="K11" s="501"/>
      <c r="L11" s="501"/>
      <c r="M11" s="502"/>
      <c r="N11" s="503"/>
      <c r="O11" s="451">
        <f>IF(ISBLANK(CkReg2022[[#This Row],[Withdrawal]]),O10+CkReg2022[[#This Row],[Deposit]],O10-CkReg2022[[#This Row],[Withdrawal]])</f>
        <v>13364.79</v>
      </c>
      <c r="P11" s="504"/>
      <c r="Q11" s="451">
        <f>IF(ISBLANK(CkReg2022[[#This Row],[Withdrawal]]),Q10+CkReg2022[[#This Row],[Deposit]],Q10-CkReg2022[[#This Row],[Withdrawal]])</f>
        <v>13364.79</v>
      </c>
      <c r="R11" s="376">
        <v>1</v>
      </c>
    </row>
    <row r="12" spans="2:18" ht="14.4" customHeight="1" x14ac:dyDescent="0.3">
      <c r="B12" s="420"/>
      <c r="C12" s="420"/>
      <c r="D12" s="420"/>
      <c r="E12" s="420"/>
      <c r="F12" s="420"/>
      <c r="G12" s="420"/>
      <c r="H12" s="499"/>
      <c r="I12" s="500"/>
      <c r="J12" s="501"/>
      <c r="K12" s="501"/>
      <c r="L12" s="501"/>
      <c r="M12" s="502"/>
      <c r="N12" s="503"/>
      <c r="O12" s="451">
        <f>IF(ISBLANK(CkReg2022[[#This Row],[Withdrawal]]),O11+CkReg2022[[#This Row],[Deposit]],O11-CkReg2022[[#This Row],[Withdrawal]])</f>
        <v>13364.79</v>
      </c>
      <c r="P12" s="504"/>
      <c r="Q12" s="451">
        <f>IF(ISBLANK(CkReg2022[[#This Row],[Withdrawal]]),Q11+CkReg2022[[#This Row],[Deposit]],Q11-CkReg2022[[#This Row],[Withdrawal]])</f>
        <v>13364.79</v>
      </c>
      <c r="R12" s="376">
        <v>1</v>
      </c>
    </row>
    <row r="13" spans="2:18" ht="13.65" customHeight="1" x14ac:dyDescent="0.3">
      <c r="B13" s="420"/>
      <c r="C13" s="420"/>
      <c r="D13" s="420"/>
      <c r="E13" s="420"/>
      <c r="F13" s="420"/>
      <c r="G13" s="420"/>
      <c r="H13" s="499"/>
      <c r="I13" s="500"/>
      <c r="J13" s="501"/>
      <c r="K13" s="501"/>
      <c r="L13" s="501"/>
      <c r="M13" s="502"/>
      <c r="N13" s="503"/>
      <c r="O13" s="451">
        <f>IF(ISBLANK(CkReg2022[[#This Row],[Withdrawal]]),O12+CkReg2022[[#This Row],[Deposit]],O12-CkReg2022[[#This Row],[Withdrawal]])</f>
        <v>13364.79</v>
      </c>
      <c r="P13" s="504"/>
      <c r="Q13" s="451">
        <f>IF(ISBLANK(CkReg2022[[#This Row],[Withdrawal]]),Q12+CkReg2022[[#This Row],[Deposit]],Q12-CkReg2022[[#This Row],[Withdrawal]])</f>
        <v>13364.79</v>
      </c>
      <c r="R13" s="376">
        <v>1</v>
      </c>
    </row>
    <row r="14" spans="2:18" ht="14.4" customHeight="1" x14ac:dyDescent="0.3">
      <c r="B14" s="424" t="s">
        <v>439</v>
      </c>
      <c r="C14" s="425"/>
      <c r="D14" s="426" t="s">
        <v>440</v>
      </c>
      <c r="E14" s="426"/>
      <c r="F14" s="427">
        <f ca="1">NOW()</f>
        <v>44534.888377430558</v>
      </c>
      <c r="G14" s="420"/>
      <c r="H14" s="499"/>
      <c r="I14" s="500"/>
      <c r="J14" s="501"/>
      <c r="K14" s="501"/>
      <c r="L14" s="501"/>
      <c r="M14" s="502"/>
      <c r="N14" s="503"/>
      <c r="O14" s="451">
        <f>IF(ISBLANK(CkReg2022[[#This Row],[Withdrawal]]),O13+CkReg2022[[#This Row],[Deposit]],O13-CkReg2022[[#This Row],[Withdrawal]])</f>
        <v>13364.79</v>
      </c>
      <c r="P14" s="504"/>
      <c r="Q14" s="451">
        <f>IF(ISBLANK(CkReg2022[[#This Row],[Withdrawal]]),Q13+CkReg2022[[#This Row],[Deposit]],Q13-CkReg2022[[#This Row],[Withdrawal]])</f>
        <v>13364.79</v>
      </c>
      <c r="R14" s="376">
        <v>1</v>
      </c>
    </row>
    <row r="15" spans="2:18" ht="14.4" customHeight="1" x14ac:dyDescent="0.3">
      <c r="B15" s="420"/>
      <c r="C15" s="420"/>
      <c r="D15" s="420"/>
      <c r="E15" s="420"/>
      <c r="F15" s="420"/>
      <c r="G15" s="428"/>
      <c r="H15" s="499"/>
      <c r="I15" s="500"/>
      <c r="J15" s="501"/>
      <c r="K15" s="501"/>
      <c r="L15" s="501"/>
      <c r="M15" s="502"/>
      <c r="N15" s="503"/>
      <c r="O15" s="451">
        <f>IF(ISBLANK(CkReg2022[[#This Row],[Withdrawal]]),O14+CkReg2022[[#This Row],[Deposit]],O14-CkReg2022[[#This Row],[Withdrawal]])</f>
        <v>13364.79</v>
      </c>
      <c r="P15" s="504"/>
      <c r="Q15" s="451">
        <f>IF(ISBLANK(CkReg2022[[#This Row],[Withdrawal]]),Q14+CkReg2022[[#This Row],[Deposit]],Q14-CkReg2022[[#This Row],[Withdrawal]])</f>
        <v>13364.79</v>
      </c>
      <c r="R15" s="376">
        <v>1</v>
      </c>
    </row>
    <row r="16" spans="2:18" ht="14.4" customHeight="1" x14ac:dyDescent="0.3">
      <c r="B16" s="91" t="s">
        <v>4</v>
      </c>
      <c r="C16" s="93" t="s">
        <v>438</v>
      </c>
      <c r="D16" s="93" t="s">
        <v>75</v>
      </c>
      <c r="E16" s="93" t="s">
        <v>871</v>
      </c>
      <c r="F16" s="93" t="s">
        <v>462</v>
      </c>
      <c r="G16" s="420"/>
      <c r="H16" s="499"/>
      <c r="I16" s="500"/>
      <c r="J16" s="501"/>
      <c r="K16" s="501"/>
      <c r="L16" s="501"/>
      <c r="M16" s="502"/>
      <c r="N16" s="503"/>
      <c r="O16" s="451">
        <f>IF(ISBLANK(CkReg2022[[#This Row],[Withdrawal]]),O15+CkReg2022[[#This Row],[Deposit]],O15-CkReg2022[[#This Row],[Withdrawal]])</f>
        <v>13364.79</v>
      </c>
      <c r="P16" s="504"/>
      <c r="Q16" s="451">
        <f>IF(ISBLANK(CkReg2022[[#This Row],[Withdrawal]]),Q15+CkReg2022[[#This Row],[Deposit]],Q15-CkReg2022[[#This Row],[Withdrawal]])</f>
        <v>13364.79</v>
      </c>
      <c r="R16" s="376">
        <v>1</v>
      </c>
    </row>
    <row r="17" spans="2:18" x14ac:dyDescent="0.3">
      <c r="B17" s="94" t="s">
        <v>5</v>
      </c>
      <c r="C17" s="95">
        <f>SUMIF(CkReg2022[Category],"=" &amp;CategoryTable81210141618162224[[#This Row],[Category]],CkReg2022[Deposit])</f>
        <v>13364.79</v>
      </c>
      <c r="D17" s="95">
        <v>15791.49</v>
      </c>
      <c r="E17" s="95"/>
      <c r="F17" s="95">
        <f>-CategoryTable81210141618162224[[#This Row],[Budget]]-CategoryTable81210141618162224[[#This Row],[Amended Budget]]+CategoryTable81210141618162224[[#This Row],[Actual to date]]</f>
        <v>-2426.6999999999989</v>
      </c>
      <c r="H17" s="499"/>
      <c r="I17" s="500"/>
      <c r="J17" s="501"/>
      <c r="K17" s="501"/>
      <c r="L17" s="501"/>
      <c r="M17" s="502"/>
      <c r="N17" s="503"/>
      <c r="O17" s="451">
        <f>IF(ISBLANK(CkReg2022[[#This Row],[Withdrawal]]),O16+CkReg2022[[#This Row],[Deposit]],O16-CkReg2022[[#This Row],[Withdrawal]])</f>
        <v>13364.79</v>
      </c>
      <c r="P17" s="504"/>
      <c r="Q17" s="451">
        <f>IF(ISBLANK(CkReg2022[[#This Row],[Withdrawal]]),Q16+CkReg2022[[#This Row],[Deposit]],Q16-CkReg2022[[#This Row],[Withdrawal]])</f>
        <v>13364.79</v>
      </c>
      <c r="R17" s="376">
        <v>1</v>
      </c>
    </row>
    <row r="18" spans="2:18" x14ac:dyDescent="0.3">
      <c r="B18" s="488" t="s">
        <v>55</v>
      </c>
      <c r="C18" s="95">
        <f>+N8</f>
        <v>0</v>
      </c>
      <c r="D18" s="489">
        <v>-4000</v>
      </c>
      <c r="E18" s="489"/>
      <c r="F18" s="95">
        <f>-CategoryTable81210141618162224[[#This Row],[Budget]]-CategoryTable81210141618162224[[#This Row],[Amended Budget]]+CategoryTable81210141618162224[[#This Row],[Actual to date]]</f>
        <v>4000</v>
      </c>
      <c r="G18" s="429"/>
      <c r="H18" s="499"/>
      <c r="I18" s="500"/>
      <c r="J18" s="501"/>
      <c r="K18" s="501"/>
      <c r="L18" s="501"/>
      <c r="M18" s="502"/>
      <c r="N18" s="503"/>
      <c r="O18" s="451">
        <f>IF(ISBLANK(CkReg2022[[#This Row],[Withdrawal]]),O17+CkReg2022[[#This Row],[Deposit]],O17-CkReg2022[[#This Row],[Withdrawal]])</f>
        <v>13364.79</v>
      </c>
      <c r="P18" s="504"/>
      <c r="Q18" s="451">
        <f>IF(ISBLANK(CkReg2022[[#This Row],[Withdrawal]]),Q17+CkReg2022[[#This Row],[Deposit]],Q17-CkReg2022[[#This Row],[Withdrawal]])</f>
        <v>13364.79</v>
      </c>
      <c r="R18" s="376">
        <v>1</v>
      </c>
    </row>
    <row r="19" spans="2:18" x14ac:dyDescent="0.3">
      <c r="B19" s="94" t="s">
        <v>703</v>
      </c>
      <c r="C19" s="95">
        <f>SUMIF(CkReg2022[Category],"=" &amp;CategoryTable81210141618162224[[#This Row],[Category]],CkReg2022[Deposit])</f>
        <v>0</v>
      </c>
      <c r="D19" s="95">
        <v>-3950</v>
      </c>
      <c r="E19" s="95"/>
      <c r="F19" s="95">
        <f>-CategoryTable81210141618162224[[#This Row],[Budget]]-CategoryTable81210141618162224[[#This Row],[Amended Budget]]+CategoryTable81210141618162224[[#This Row],[Actual to date]]</f>
        <v>3950</v>
      </c>
      <c r="G19" s="93"/>
      <c r="H19" s="499"/>
      <c r="I19" s="500"/>
      <c r="J19" s="501"/>
      <c r="K19" s="501"/>
      <c r="L19" s="501"/>
      <c r="M19" s="502"/>
      <c r="N19" s="503"/>
      <c r="O19" s="451">
        <f>IF(ISBLANK(CkReg2022[[#This Row],[Withdrawal]]),O18+CkReg2022[[#This Row],[Deposit]],O18-CkReg2022[[#This Row],[Withdrawal]])</f>
        <v>13364.79</v>
      </c>
      <c r="P19" s="504"/>
      <c r="Q19" s="451">
        <f>IF(ISBLANK(CkReg2022[[#This Row],[Withdrawal]]),Q18+CkReg2022[[#This Row],[Deposit]],Q18-CkReg2022[[#This Row],[Withdrawal]])</f>
        <v>13364.79</v>
      </c>
      <c r="R19" s="376">
        <v>1</v>
      </c>
    </row>
    <row r="20" spans="2:18" x14ac:dyDescent="0.3">
      <c r="B20" s="488" t="s">
        <v>56</v>
      </c>
      <c r="C20" s="95">
        <f>-(SUMIF(CkReg2022[Category],"=" &amp;CategoryTable81210141618162224[[#This Row],[Category]],CkReg2022[Withdrawal]))</f>
        <v>0</v>
      </c>
      <c r="D20" s="489">
        <v>-4500</v>
      </c>
      <c r="E20" s="489"/>
      <c r="F20" s="95">
        <f>-CategoryTable81210141618162224[[#This Row],[Budget]]-CategoryTable81210141618162224[[#This Row],[Amended Budget]]+CategoryTable81210141618162224[[#This Row],[Actual to date]]</f>
        <v>4500</v>
      </c>
      <c r="G20" s="95"/>
      <c r="H20" s="499"/>
      <c r="I20" s="500"/>
      <c r="J20" s="501"/>
      <c r="K20" s="501"/>
      <c r="L20" s="501"/>
      <c r="M20" s="502"/>
      <c r="N20" s="503"/>
      <c r="O20" s="451">
        <f>IF(ISBLANK(CkReg2022[[#This Row],[Withdrawal]]),O19+CkReg2022[[#This Row],[Deposit]],O19-CkReg2022[[#This Row],[Withdrawal]])</f>
        <v>13364.79</v>
      </c>
      <c r="P20" s="504"/>
      <c r="Q20" s="451">
        <f>IF(ISBLANK(CkReg2022[[#This Row],[Withdrawal]]),Q19+CkReg2022[[#This Row],[Deposit]],Q19-CkReg2022[[#This Row],[Withdrawal]])</f>
        <v>13364.79</v>
      </c>
      <c r="R20" s="376">
        <v>1</v>
      </c>
    </row>
    <row r="21" spans="2:18" x14ac:dyDescent="0.3">
      <c r="B21" s="94" t="s">
        <v>33</v>
      </c>
      <c r="C21" s="95">
        <f>-(SUMIF(CkReg2022[Category],"=" &amp;CategoryTable81210141618162224[[#This Row],[Category]],CkReg2022[Withdrawal]))</f>
        <v>0</v>
      </c>
      <c r="D21" s="95">
        <v>550</v>
      </c>
      <c r="E21" s="95"/>
      <c r="F21" s="95">
        <f>-CategoryTable81210141618162224[[#This Row],[Budget]]-CategoryTable81210141618162224[[#This Row],[Amended Budget]]+CategoryTable81210141618162224[[#This Row],[Actual to date]]</f>
        <v>-550</v>
      </c>
      <c r="G21" s="95"/>
      <c r="H21" s="499"/>
      <c r="I21" s="500"/>
      <c r="J21" s="501"/>
      <c r="K21" s="501"/>
      <c r="L21" s="501"/>
      <c r="M21" s="502"/>
      <c r="N21" s="503"/>
      <c r="O21" s="451">
        <f>IF(ISBLANK(CkReg2022[[#This Row],[Withdrawal]]),O20+CkReg2022[[#This Row],[Deposit]],O20-CkReg2022[[#This Row],[Withdrawal]])</f>
        <v>13364.79</v>
      </c>
      <c r="P21" s="504"/>
      <c r="Q21" s="451">
        <f>IF(ISBLANK(CkReg2022[[#This Row],[Withdrawal]]),Q20+CkReg2022[[#This Row],[Deposit]],Q20-CkReg2022[[#This Row],[Withdrawal]])</f>
        <v>13364.79</v>
      </c>
      <c r="R21" s="376">
        <v>1</v>
      </c>
    </row>
    <row r="22" spans="2:18" x14ac:dyDescent="0.3">
      <c r="B22" s="94" t="s">
        <v>34</v>
      </c>
      <c r="C22" s="95">
        <f>SUMIF(CkReg2022[Category],"=" &amp;CategoryTable81210141618162224[[#This Row],[Category]],CkReg2022[Deposit])</f>
        <v>0</v>
      </c>
      <c r="D22" s="95">
        <v>-1375</v>
      </c>
      <c r="E22" s="95"/>
      <c r="F22" s="95">
        <f>-CategoryTable81210141618162224[[#This Row],[Budget]]-CategoryTable81210141618162224[[#This Row],[Amended Budget]]+CategoryTable81210141618162224[[#This Row],[Actual to date]]</f>
        <v>1375</v>
      </c>
      <c r="G22" s="95"/>
      <c r="H22" s="499"/>
      <c r="I22" s="500"/>
      <c r="J22" s="501"/>
      <c r="K22" s="501"/>
      <c r="L22" s="501"/>
      <c r="M22" s="502"/>
      <c r="N22" s="503"/>
      <c r="O22" s="451">
        <f>IF(ISBLANK(CkReg2022[[#This Row],[Withdrawal]]),O21+CkReg2022[[#This Row],[Deposit]],O21-CkReg2022[[#This Row],[Withdrawal]])</f>
        <v>13364.79</v>
      </c>
      <c r="P22" s="504"/>
      <c r="Q22" s="451">
        <f>IF(ISBLANK(CkReg2022[[#This Row],[Withdrawal]]),Q21+CkReg2022[[#This Row],[Deposit]],Q21-CkReg2022[[#This Row],[Withdrawal]])</f>
        <v>13364.79</v>
      </c>
      <c r="R22" s="376">
        <v>1</v>
      </c>
    </row>
    <row r="23" spans="2:18" x14ac:dyDescent="0.3">
      <c r="B23" s="94" t="s">
        <v>1084</v>
      </c>
      <c r="C23" s="95">
        <f>SUMIF(CkReg2022[Category],"=" &amp;CategoryTable81210141618162224[[#This Row],[Category]],CkReg2022[Deposit])</f>
        <v>0</v>
      </c>
      <c r="D23" s="95">
        <v>900</v>
      </c>
      <c r="E23" s="489"/>
      <c r="F23" s="95">
        <f>-CategoryTable81210141618162224[[#This Row],[Budget]]-CategoryTable81210141618162224[[#This Row],[Amended Budget]]+CategoryTable81210141618162224[[#This Row],[Actual to date]]</f>
        <v>-900</v>
      </c>
      <c r="G23" s="95"/>
      <c r="H23" s="499"/>
      <c r="I23" s="500"/>
      <c r="J23" s="501"/>
      <c r="K23" s="501"/>
      <c r="L23" s="501"/>
      <c r="M23" s="502"/>
      <c r="N23" s="503"/>
      <c r="O23" s="451">
        <f>IF(ISBLANK(CkReg2022[[#This Row],[Withdrawal]]),O22+CkReg2022[[#This Row],[Deposit]],O22-CkReg2022[[#This Row],[Withdrawal]])</f>
        <v>13364.79</v>
      </c>
      <c r="P23" s="504"/>
      <c r="Q23" s="451">
        <f>IF(ISBLANK(CkReg2022[[#This Row],[Withdrawal]]),Q22+CkReg2022[[#This Row],[Deposit]],Q22-CkReg2022[[#This Row],[Withdrawal]])</f>
        <v>13364.79</v>
      </c>
      <c r="R23" s="376">
        <v>1</v>
      </c>
    </row>
    <row r="24" spans="2:18" x14ac:dyDescent="0.3">
      <c r="B24" s="488" t="s">
        <v>47</v>
      </c>
      <c r="C24" s="95">
        <f>SUMIF(CkReg2022[Category],"=" &amp;CategoryTable81210141618162224[[#This Row],[Category]],CkReg2022[Deposit])</f>
        <v>0</v>
      </c>
      <c r="D24" s="489">
        <v>-30</v>
      </c>
      <c r="E24" s="489"/>
      <c r="F24" s="95">
        <f>-CategoryTable81210141618162224[[#This Row],[Budget]]-CategoryTable81210141618162224[[#This Row],[Amended Budget]]+CategoryTable81210141618162224[[#This Row],[Actual to date]]</f>
        <v>30</v>
      </c>
      <c r="G24" s="95"/>
      <c r="H24" s="499"/>
      <c r="I24" s="500"/>
      <c r="J24" s="501"/>
      <c r="K24" s="501"/>
      <c r="L24" s="501"/>
      <c r="M24" s="502"/>
      <c r="N24" s="503"/>
      <c r="O24" s="451">
        <f>IF(ISBLANK(CkReg2022[[#This Row],[Withdrawal]]),O23+CkReg2022[[#This Row],[Deposit]],O23-CkReg2022[[#This Row],[Withdrawal]])</f>
        <v>13364.79</v>
      </c>
      <c r="P24" s="504"/>
      <c r="Q24" s="451">
        <f>IF(ISBLANK(CkReg2022[[#This Row],[Withdrawal]]),Q23+CkReg2022[[#This Row],[Deposit]],Q23-CkReg2022[[#This Row],[Withdrawal]])</f>
        <v>13364.79</v>
      </c>
      <c r="R24" s="376">
        <v>1</v>
      </c>
    </row>
    <row r="25" spans="2:18" x14ac:dyDescent="0.3">
      <c r="B25" s="488" t="s">
        <v>37</v>
      </c>
      <c r="C25" s="95">
        <f>SUMIF(CkReg2022[Category],"=" &amp;CategoryTable81210141618162224[[#This Row],[Category]],CkReg2022[Deposit])</f>
        <v>0</v>
      </c>
      <c r="D25" s="489">
        <v>-50</v>
      </c>
      <c r="E25" s="489"/>
      <c r="F25" s="95">
        <f>-CategoryTable81210141618162224[[#This Row],[Budget]]-CategoryTable81210141618162224[[#This Row],[Amended Budget]]+CategoryTable81210141618162224[[#This Row],[Actual to date]]</f>
        <v>50</v>
      </c>
      <c r="G25" s="95"/>
      <c r="H25" s="499"/>
      <c r="I25" s="500"/>
      <c r="J25" s="501"/>
      <c r="K25" s="501"/>
      <c r="L25" s="501"/>
      <c r="M25" s="502"/>
      <c r="N25" s="503"/>
      <c r="O25" s="451">
        <f>IF(ISBLANK(CkReg2022[[#This Row],[Withdrawal]]),O24+CkReg2022[[#This Row],[Deposit]],O24-CkReg2022[[#This Row],[Withdrawal]])</f>
        <v>13364.79</v>
      </c>
      <c r="P25" s="504"/>
      <c r="Q25" s="451">
        <f>IF(ISBLANK(CkReg2022[[#This Row],[Withdrawal]]),Q24+CkReg2022[[#This Row],[Deposit]],Q24-CkReg2022[[#This Row],[Withdrawal]])</f>
        <v>13364.79</v>
      </c>
      <c r="R25" s="376">
        <v>1</v>
      </c>
    </row>
    <row r="26" spans="2:18" x14ac:dyDescent="0.3">
      <c r="B26" s="488" t="s">
        <v>91</v>
      </c>
      <c r="C26" s="95">
        <f>SUMIF(CkReg2022[Category],"=" &amp;CategoryTable81210141618162224[[#This Row],[Category]],CkReg2022[Deposit])</f>
        <v>0</v>
      </c>
      <c r="D26" s="489">
        <v>-5</v>
      </c>
      <c r="E26" s="489"/>
      <c r="F26" s="95">
        <f>-CategoryTable81210141618162224[[#This Row],[Budget]]-CategoryTable81210141618162224[[#This Row],[Amended Budget]]+CategoryTable81210141618162224[[#This Row],[Actual to date]]</f>
        <v>5</v>
      </c>
      <c r="G26" s="95"/>
      <c r="H26" s="499"/>
      <c r="I26" s="500"/>
      <c r="J26" s="501"/>
      <c r="K26" s="501"/>
      <c r="L26" s="501"/>
      <c r="M26" s="502"/>
      <c r="N26" s="503"/>
      <c r="O26" s="451">
        <f>IF(ISBLANK(CkReg2022[[#This Row],[Withdrawal]]),O25+CkReg2022[[#This Row],[Deposit]],O25-CkReg2022[[#This Row],[Withdrawal]])</f>
        <v>13364.79</v>
      </c>
      <c r="P26" s="504"/>
      <c r="Q26" s="451">
        <f>IF(ISBLANK(CkReg2022[[#This Row],[Withdrawal]]),Q25+CkReg2022[[#This Row],[Deposit]],Q25-CkReg2022[[#This Row],[Withdrawal]])</f>
        <v>13364.79</v>
      </c>
      <c r="R26" s="376">
        <v>1</v>
      </c>
    </row>
    <row r="27" spans="2:18" x14ac:dyDescent="0.3">
      <c r="B27" s="488" t="s">
        <v>39</v>
      </c>
      <c r="C27" s="95">
        <f>SUMIF(CkReg2022[Category],"=" &amp;CategoryTable81210141618162224[[#This Row],[Category]],CkReg2022[Deposit])</f>
        <v>0</v>
      </c>
      <c r="D27" s="489">
        <v>-200</v>
      </c>
      <c r="E27" s="489"/>
      <c r="F27" s="95">
        <f>-CategoryTable81210141618162224[[#This Row],[Budget]]-CategoryTable81210141618162224[[#This Row],[Amended Budget]]+CategoryTable81210141618162224[[#This Row],[Actual to date]]</f>
        <v>200</v>
      </c>
      <c r="G27" s="95"/>
      <c r="H27" s="499"/>
      <c r="I27" s="500"/>
      <c r="J27" s="501"/>
      <c r="K27" s="501"/>
      <c r="L27" s="501"/>
      <c r="M27" s="502"/>
      <c r="N27" s="503"/>
      <c r="O27" s="451">
        <f>IF(ISBLANK(CkReg2022[[#This Row],[Withdrawal]]),O26+CkReg2022[[#This Row],[Deposit]],O26-CkReg2022[[#This Row],[Withdrawal]])</f>
        <v>13364.79</v>
      </c>
      <c r="P27" s="504"/>
      <c r="Q27" s="451">
        <f>IF(ISBLANK(CkReg2022[[#This Row],[Withdrawal]]),Q26+CkReg2022[[#This Row],[Deposit]],Q26-CkReg2022[[#This Row],[Withdrawal]])</f>
        <v>13364.79</v>
      </c>
      <c r="R27" s="376">
        <v>1</v>
      </c>
    </row>
    <row r="28" spans="2:18" x14ac:dyDescent="0.3">
      <c r="B28" s="535" t="s">
        <v>43</v>
      </c>
      <c r="C28" s="95">
        <f>SUMIF(CkReg2022[Category],"=" &amp;CategoryTable81210141618162224[[#This Row],[Category]],CkReg2022[Deposit])</f>
        <v>0</v>
      </c>
      <c r="D28" s="95">
        <v>-450</v>
      </c>
      <c r="E28" s="95"/>
      <c r="F28" s="95">
        <f>-CategoryTable81210141618162224[[#This Row],[Budget]]-CategoryTable81210141618162224[[#This Row],[Amended Budget]]+CategoryTable81210141618162224[[#This Row],[Actual to date]]</f>
        <v>450</v>
      </c>
      <c r="G28" s="95"/>
      <c r="H28" s="499"/>
      <c r="I28" s="500"/>
      <c r="J28" s="501"/>
      <c r="K28" s="501"/>
      <c r="L28" s="501"/>
      <c r="M28" s="502"/>
      <c r="N28" s="503"/>
      <c r="O28" s="451">
        <f>IF(ISBLANK(CkReg2022[[#This Row],[Withdrawal]]),O27+CkReg2022[[#This Row],[Deposit]],O27-CkReg2022[[#This Row],[Withdrawal]])</f>
        <v>13364.79</v>
      </c>
      <c r="P28" s="504"/>
      <c r="Q28" s="451">
        <f>IF(ISBLANK(CkReg2022[[#This Row],[Withdrawal]]),Q27+CkReg2022[[#This Row],[Deposit]],Q27-CkReg2022[[#This Row],[Withdrawal]])</f>
        <v>13364.79</v>
      </c>
      <c r="R28" s="376">
        <v>1</v>
      </c>
    </row>
    <row r="29" spans="2:18" x14ac:dyDescent="0.3">
      <c r="B29" s="94" t="s">
        <v>44</v>
      </c>
      <c r="C29" s="95">
        <f>-(SUMIF(CkReg2022[Category],"=" &amp;CategoryTable81210141618162224[[#This Row],[Category]],CkReg2022[Withdrawal]))</f>
        <v>0</v>
      </c>
      <c r="D29" s="95">
        <v>-50</v>
      </c>
      <c r="E29" s="95"/>
      <c r="F29" s="95">
        <f>-CategoryTable81210141618162224[[#This Row],[Budget]]-CategoryTable81210141618162224[[#This Row],[Amended Budget]]+CategoryTable81210141618162224[[#This Row],[Actual to date]]</f>
        <v>50</v>
      </c>
      <c r="G29" s="95"/>
      <c r="H29" s="499"/>
      <c r="I29" s="500"/>
      <c r="J29" s="501"/>
      <c r="K29" s="501"/>
      <c r="L29" s="501"/>
      <c r="M29" s="502"/>
      <c r="N29" s="503"/>
      <c r="O29" s="451">
        <f>IF(ISBLANK(CkReg2022[[#This Row],[Withdrawal]]),O28+CkReg2022[[#This Row],[Deposit]],O28-CkReg2022[[#This Row],[Withdrawal]])</f>
        <v>13364.79</v>
      </c>
      <c r="P29" s="504"/>
      <c r="Q29" s="451">
        <f>IF(ISBLANK(CkReg2022[[#This Row],[Withdrawal]]),Q28+CkReg2022[[#This Row],[Deposit]],Q28-CkReg2022[[#This Row],[Withdrawal]])</f>
        <v>13364.79</v>
      </c>
      <c r="R29" s="376">
        <v>1</v>
      </c>
    </row>
    <row r="30" spans="2:18" x14ac:dyDescent="0.3">
      <c r="B30" s="94" t="s">
        <v>40</v>
      </c>
      <c r="C30" s="95">
        <f>-(SUMIF(CkReg2022[Category],"=" &amp;CategoryTable81210141618162224[[#This Row],[Category]],CkReg2022[Withdrawal]))</f>
        <v>0</v>
      </c>
      <c r="D30" s="95">
        <v>-50</v>
      </c>
      <c r="E30" s="95"/>
      <c r="F30" s="95">
        <f>-CategoryTable81210141618162224[[#This Row],[Budget]]-CategoryTable81210141618162224[[#This Row],[Amended Budget]]+CategoryTable81210141618162224[[#This Row],[Actual to date]]</f>
        <v>50</v>
      </c>
      <c r="G30" s="95"/>
      <c r="H30" s="499"/>
      <c r="I30" s="500"/>
      <c r="J30" s="501"/>
      <c r="K30" s="501"/>
      <c r="L30" s="501"/>
      <c r="M30" s="502"/>
      <c r="N30" s="503"/>
      <c r="O30" s="451">
        <f>IF(ISBLANK(CkReg2022[[#This Row],[Withdrawal]]),O29+CkReg2022[[#This Row],[Deposit]],O29-CkReg2022[[#This Row],[Withdrawal]])</f>
        <v>13364.79</v>
      </c>
      <c r="P30" s="504"/>
      <c r="Q30" s="451">
        <f>IF(ISBLANK(CkReg2022[[#This Row],[Withdrawal]]),Q29+CkReg2022[[#This Row],[Deposit]],Q29-CkReg2022[[#This Row],[Withdrawal]])</f>
        <v>13364.79</v>
      </c>
      <c r="R30" s="376">
        <v>1</v>
      </c>
    </row>
    <row r="31" spans="2:18" x14ac:dyDescent="0.3">
      <c r="B31" s="94" t="s">
        <v>45</v>
      </c>
      <c r="C31" s="95">
        <f>-(SUMIF(CkReg2022[Category],"=" &amp;CategoryTable81210141618162224[[#This Row],[Category]],CkReg2022[Withdrawal]))</f>
        <v>0</v>
      </c>
      <c r="D31" s="95">
        <v>-150</v>
      </c>
      <c r="E31" s="95"/>
      <c r="F31" s="95">
        <f>-CategoryTable81210141618162224[[#This Row],[Budget]]-CategoryTable81210141618162224[[#This Row],[Amended Budget]]+CategoryTable81210141618162224[[#This Row],[Actual to date]]</f>
        <v>150</v>
      </c>
      <c r="G31" s="95"/>
      <c r="H31" s="499"/>
      <c r="I31" s="500"/>
      <c r="J31" s="501"/>
      <c r="K31" s="501"/>
      <c r="L31" s="501"/>
      <c r="M31" s="502"/>
      <c r="N31" s="503"/>
      <c r="O31" s="451">
        <f>IF(ISBLANK(CkReg2022[[#This Row],[Withdrawal]]),O30+CkReg2022[[#This Row],[Deposit]],O30-CkReg2022[[#This Row],[Withdrawal]])</f>
        <v>13364.79</v>
      </c>
      <c r="P31" s="504"/>
      <c r="Q31" s="451">
        <f>IF(ISBLANK(CkReg2022[[#This Row],[Withdrawal]]),Q30+CkReg2022[[#This Row],[Deposit]],Q30-CkReg2022[[#This Row],[Withdrawal]])</f>
        <v>13364.79</v>
      </c>
      <c r="R31" s="376">
        <v>1</v>
      </c>
    </row>
    <row r="32" spans="2:18" x14ac:dyDescent="0.3">
      <c r="B32" s="94" t="s">
        <v>46</v>
      </c>
      <c r="C32" s="95">
        <f>-(SUMIF(CkReg2022[Category],"=" &amp;CategoryTable81210141618162224[[#This Row],[Category]],CkReg2022[Withdrawal]))</f>
        <v>0</v>
      </c>
      <c r="D32" s="95">
        <v>-900</v>
      </c>
      <c r="E32" s="95"/>
      <c r="F32" s="95">
        <f>-CategoryTable81210141618162224[[#This Row],[Budget]]-CategoryTable81210141618162224[[#This Row],[Amended Budget]]+CategoryTable81210141618162224[[#This Row],[Actual to date]]</f>
        <v>900</v>
      </c>
      <c r="G32" s="95"/>
      <c r="H32" s="499"/>
      <c r="I32" s="500"/>
      <c r="J32" s="501"/>
      <c r="K32" s="501"/>
      <c r="L32" s="501"/>
      <c r="M32" s="502"/>
      <c r="N32" s="503"/>
      <c r="O32" s="451">
        <f>IF(ISBLANK(CkReg2022[[#This Row],[Withdrawal]]),O31+CkReg2022[[#This Row],[Deposit]],O31-CkReg2022[[#This Row],[Withdrawal]])</f>
        <v>13364.79</v>
      </c>
      <c r="P32" s="504"/>
      <c r="Q32" s="451">
        <f>IF(ISBLANK(CkReg2022[[#This Row],[Withdrawal]]),Q31+CkReg2022[[#This Row],[Deposit]],Q31-CkReg2022[[#This Row],[Withdrawal]])</f>
        <v>13364.79</v>
      </c>
      <c r="R32" s="376">
        <v>1</v>
      </c>
    </row>
    <row r="33" spans="2:18" x14ac:dyDescent="0.3">
      <c r="B33" s="94" t="s">
        <v>946</v>
      </c>
      <c r="C33" s="95">
        <f>SUMIF(CkReg2022[Category],"=" &amp;CategoryTable81210141618162224[[#This Row],[Category]],CkReg2022[Deposit])</f>
        <v>0</v>
      </c>
      <c r="D33" s="95">
        <v>-200</v>
      </c>
      <c r="E33" s="95"/>
      <c r="F33" s="95">
        <f>-CategoryTable81210141618162224[[#This Row],[Budget]]-CategoryTable81210141618162224[[#This Row],[Amended Budget]]+CategoryTable81210141618162224[[#This Row],[Actual to date]]</f>
        <v>200</v>
      </c>
      <c r="G33" s="95"/>
      <c r="H33" s="499"/>
      <c r="I33" s="500"/>
      <c r="J33" s="501"/>
      <c r="K33" s="501"/>
      <c r="L33" s="501"/>
      <c r="M33" s="502"/>
      <c r="N33" s="503"/>
      <c r="O33" s="451">
        <f>IF(ISBLANK(CkReg2022[[#This Row],[Withdrawal]]),O32+CkReg2022[[#This Row],[Deposit]],O32-CkReg2022[[#This Row],[Withdrawal]])</f>
        <v>13364.79</v>
      </c>
      <c r="P33" s="504"/>
      <c r="Q33" s="451">
        <f>IF(ISBLANK(CkReg2022[[#This Row],[Withdrawal]]),Q32+CkReg2022[[#This Row],[Deposit]],Q32-CkReg2022[[#This Row],[Withdrawal]])</f>
        <v>13364.79</v>
      </c>
      <c r="R33" s="376">
        <v>1</v>
      </c>
    </row>
    <row r="34" spans="2:18" x14ac:dyDescent="0.3">
      <c r="B34" s="94" t="s">
        <v>49</v>
      </c>
      <c r="C34" s="95">
        <f>-(SUMIF(CkReg2022[Category],"=" &amp;CategoryTable81210141618162224[[#This Row],[Category]],CkReg2022[Withdrawal]))</f>
        <v>0</v>
      </c>
      <c r="D34" s="95">
        <v>-30</v>
      </c>
      <c r="E34" s="95"/>
      <c r="F34" s="95">
        <f>-CategoryTable81210141618162224[[#This Row],[Budget]]-CategoryTable81210141618162224[[#This Row],[Amended Budget]]+CategoryTable81210141618162224[[#This Row],[Actual to date]]</f>
        <v>30</v>
      </c>
      <c r="G34" s="95"/>
      <c r="H34" s="499"/>
      <c r="I34" s="500"/>
      <c r="J34" s="501"/>
      <c r="K34" s="501"/>
      <c r="L34" s="501"/>
      <c r="M34" s="502"/>
      <c r="N34" s="503"/>
      <c r="O34" s="451">
        <f>IF(ISBLANK(CkReg2022[[#This Row],[Withdrawal]]),O33+CkReg2022[[#This Row],[Deposit]],O33-CkReg2022[[#This Row],[Withdrawal]])</f>
        <v>13364.79</v>
      </c>
      <c r="P34" s="504"/>
      <c r="Q34" s="451">
        <f>IF(ISBLANK(CkReg2022[[#This Row],[Withdrawal]]),Q33+CkReg2022[[#This Row],[Deposit]],Q33-CkReg2022[[#This Row],[Withdrawal]])</f>
        <v>13364.79</v>
      </c>
      <c r="R34" s="376">
        <v>1</v>
      </c>
    </row>
    <row r="35" spans="2:18" x14ac:dyDescent="0.3">
      <c r="B35" s="94" t="s">
        <v>50</v>
      </c>
      <c r="C35" s="95">
        <f>-(SUMIF(CkReg2022[Category],"=" &amp;CategoryTable81210141618162224[[#This Row],[Category]],CkReg2022[Withdrawal]))</f>
        <v>0</v>
      </c>
      <c r="D35" s="95">
        <v>-30</v>
      </c>
      <c r="E35" s="95"/>
      <c r="F35" s="95">
        <f>-CategoryTable81210141618162224[[#This Row],[Budget]]-CategoryTable81210141618162224[[#This Row],[Amended Budget]]+CategoryTable81210141618162224[[#This Row],[Actual to date]]</f>
        <v>30</v>
      </c>
      <c r="G35" s="95"/>
      <c r="H35" s="499"/>
      <c r="I35" s="500"/>
      <c r="J35" s="501"/>
      <c r="K35" s="501"/>
      <c r="L35" s="501"/>
      <c r="M35" s="502"/>
      <c r="N35" s="503"/>
      <c r="O35" s="451">
        <f>IF(ISBLANK(CkReg2022[[#This Row],[Withdrawal]]),O34+CkReg2022[[#This Row],[Deposit]],O34-CkReg2022[[#This Row],[Withdrawal]])</f>
        <v>13364.79</v>
      </c>
      <c r="P35" s="504"/>
      <c r="Q35" s="451">
        <f>IF(ISBLANK(CkReg2022[[#This Row],[Withdrawal]]),Q34+CkReg2022[[#This Row],[Deposit]],Q34-CkReg2022[[#This Row],[Withdrawal]])</f>
        <v>13364.79</v>
      </c>
      <c r="R35" s="376">
        <v>1</v>
      </c>
    </row>
    <row r="36" spans="2:18" x14ac:dyDescent="0.3">
      <c r="B36" s="94" t="s">
        <v>51</v>
      </c>
      <c r="C36" s="95">
        <f>-(SUMIF(CkReg2022[Category],"=" &amp;CategoryTable81210141618162224[[#This Row],[Category]],CkReg2022[Withdrawal]))</f>
        <v>0</v>
      </c>
      <c r="D36" s="95">
        <v>-320</v>
      </c>
      <c r="E36" s="95"/>
      <c r="F36" s="95">
        <f>-CategoryTable81210141618162224[[#This Row],[Budget]]-CategoryTable81210141618162224[[#This Row],[Amended Budget]]+CategoryTable81210141618162224[[#This Row],[Actual to date]]</f>
        <v>320</v>
      </c>
      <c r="G36" s="95"/>
      <c r="H36" s="499"/>
      <c r="I36" s="500"/>
      <c r="J36" s="501"/>
      <c r="K36" s="501"/>
      <c r="L36" s="501"/>
      <c r="M36" s="502"/>
      <c r="N36" s="503"/>
      <c r="O36" s="451">
        <f>IF(ISBLANK(CkReg2022[[#This Row],[Withdrawal]]),O35+CkReg2022[[#This Row],[Deposit]],O35-CkReg2022[[#This Row],[Withdrawal]])</f>
        <v>13364.79</v>
      </c>
      <c r="P36" s="504"/>
      <c r="Q36" s="451">
        <f>IF(ISBLANK(CkReg2022[[#This Row],[Withdrawal]]),Q35+CkReg2022[[#This Row],[Deposit]],Q35-CkReg2022[[#This Row],[Withdrawal]])</f>
        <v>13364.79</v>
      </c>
      <c r="R36" s="376">
        <v>1</v>
      </c>
    </row>
    <row r="37" spans="2:18" x14ac:dyDescent="0.3">
      <c r="B37" s="94" t="s">
        <v>52</v>
      </c>
      <c r="C37" s="95">
        <f>-(SUMIF(CkReg2022[Category],"=" &amp;CategoryTable81210141618162224[[#This Row],[Category]],CkReg2022[Withdrawal]))</f>
        <v>0</v>
      </c>
      <c r="D37" s="95">
        <v>-50</v>
      </c>
      <c r="E37" s="95"/>
      <c r="F37" s="95">
        <f>-CategoryTable81210141618162224[[#This Row],[Budget]]-CategoryTable81210141618162224[[#This Row],[Amended Budget]]+CategoryTable81210141618162224[[#This Row],[Actual to date]]</f>
        <v>50</v>
      </c>
      <c r="G37" s="95"/>
      <c r="H37" s="499"/>
      <c r="I37" s="500"/>
      <c r="J37" s="501"/>
      <c r="K37" s="501"/>
      <c r="L37" s="501"/>
      <c r="M37" s="502"/>
      <c r="N37" s="503"/>
      <c r="O37" s="451">
        <f>IF(ISBLANK(CkReg2022[[#This Row],[Withdrawal]]),O36+CkReg2022[[#This Row],[Deposit]],O36-CkReg2022[[#This Row],[Withdrawal]])</f>
        <v>13364.79</v>
      </c>
      <c r="P37" s="504"/>
      <c r="Q37" s="451">
        <f>IF(ISBLANK(CkReg2022[[#This Row],[Withdrawal]]),Q36+CkReg2022[[#This Row],[Deposit]],Q36-CkReg2022[[#This Row],[Withdrawal]])</f>
        <v>13364.79</v>
      </c>
      <c r="R37" s="376">
        <v>1</v>
      </c>
    </row>
    <row r="38" spans="2:18" x14ac:dyDescent="0.3">
      <c r="B38" s="94" t="s">
        <v>53</v>
      </c>
      <c r="C38" s="95">
        <f>-(SUMIF(CkReg2022[Category],"=" &amp;CategoryTable81210141618162224[[#This Row],[Category]],CkReg2022[Withdrawal]))</f>
        <v>0</v>
      </c>
      <c r="D38" s="95">
        <v>-150</v>
      </c>
      <c r="E38" s="95"/>
      <c r="F38" s="95">
        <f>-CategoryTable81210141618162224[[#This Row],[Budget]]-CategoryTable81210141618162224[[#This Row],[Amended Budget]]+CategoryTable81210141618162224[[#This Row],[Actual to date]]</f>
        <v>150</v>
      </c>
      <c r="G38" s="95"/>
      <c r="H38" s="499"/>
      <c r="I38" s="500"/>
      <c r="J38" s="501"/>
      <c r="K38" s="501"/>
      <c r="L38" s="501"/>
      <c r="M38" s="502"/>
      <c r="N38" s="503"/>
      <c r="O38" s="451">
        <f>IF(ISBLANK(CkReg2022[[#This Row],[Withdrawal]]),O37+CkReg2022[[#This Row],[Deposit]],O37-CkReg2022[[#This Row],[Withdrawal]])</f>
        <v>13364.79</v>
      </c>
      <c r="P38" s="504"/>
      <c r="Q38" s="451">
        <f>IF(ISBLANK(CkReg2022[[#This Row],[Withdrawal]]),Q37+CkReg2022[[#This Row],[Deposit]],Q37-CkReg2022[[#This Row],[Withdrawal]])</f>
        <v>13364.79</v>
      </c>
      <c r="R38" s="376">
        <v>1</v>
      </c>
    </row>
    <row r="39" spans="2:18" x14ac:dyDescent="0.3">
      <c r="B39" s="94" t="s">
        <v>36</v>
      </c>
      <c r="C39" s="95">
        <f>-(SUMIF(CkReg2022[Category],"=" &amp;CategoryTable81210141618162224[[#This Row],[Category]],CkReg2022[Withdrawal]))</f>
        <v>0</v>
      </c>
      <c r="D39" s="95">
        <v>-300</v>
      </c>
      <c r="E39" s="95"/>
      <c r="F39" s="95">
        <f>-CategoryTable81210141618162224[[#This Row],[Budget]]-CategoryTable81210141618162224[[#This Row],[Amended Budget]]+CategoryTable81210141618162224[[#This Row],[Actual to date]]</f>
        <v>300</v>
      </c>
      <c r="G39" s="95"/>
      <c r="H39" s="499"/>
      <c r="I39" s="500"/>
      <c r="J39" s="501"/>
      <c r="K39" s="501"/>
      <c r="L39" s="501"/>
      <c r="M39" s="502"/>
      <c r="N39" s="503"/>
      <c r="O39" s="451">
        <f>IF(ISBLANK(CkReg2022[[#This Row],[Withdrawal]]),O38+CkReg2022[[#This Row],[Deposit]],O38-CkReg2022[[#This Row],[Withdrawal]])</f>
        <v>13364.79</v>
      </c>
      <c r="P39" s="504"/>
      <c r="Q39" s="451">
        <f>IF(ISBLANK(CkReg2022[[#This Row],[Withdrawal]]),Q38+CkReg2022[[#This Row],[Deposit]],Q38-CkReg2022[[#This Row],[Withdrawal]])</f>
        <v>13364.79</v>
      </c>
      <c r="R39" s="376">
        <v>1</v>
      </c>
    </row>
    <row r="40" spans="2:18" x14ac:dyDescent="0.3">
      <c r="B40" s="94" t="s">
        <v>573</v>
      </c>
      <c r="C40" s="95">
        <f>-(SUMIF(CkReg2022[Category],"=" &amp;CategoryTable81210141618162224[[#This Row],[Category]],CkReg2022[Withdrawal]))</f>
        <v>0</v>
      </c>
      <c r="D40" s="95">
        <v>-50</v>
      </c>
      <c r="E40" s="95"/>
      <c r="F40" s="95">
        <f>-CategoryTable81210141618162224[[#This Row],[Budget]]-CategoryTable81210141618162224[[#This Row],[Amended Budget]]+CategoryTable81210141618162224[[#This Row],[Actual to date]]</f>
        <v>50</v>
      </c>
      <c r="G40" s="95"/>
      <c r="H40" s="499"/>
      <c r="I40" s="500"/>
      <c r="J40" s="501"/>
      <c r="K40" s="501"/>
      <c r="L40" s="501"/>
      <c r="M40" s="502"/>
      <c r="N40" s="503"/>
      <c r="O40" s="451">
        <f>IF(ISBLANK(CkReg2022[[#This Row],[Withdrawal]]),O39+CkReg2022[[#This Row],[Deposit]],O39-CkReg2022[[#This Row],[Withdrawal]])</f>
        <v>13364.79</v>
      </c>
      <c r="P40" s="504"/>
      <c r="Q40" s="451">
        <f>IF(ISBLANK(CkReg2022[[#This Row],[Withdrawal]]),Q39+CkReg2022[[#This Row],[Deposit]],Q39-CkReg2022[[#This Row],[Withdrawal]])</f>
        <v>13364.79</v>
      </c>
      <c r="R40" s="376">
        <v>1</v>
      </c>
    </row>
    <row r="41" spans="2:18" x14ac:dyDescent="0.3">
      <c r="B41" s="94" t="s">
        <v>574</v>
      </c>
      <c r="C41" s="95">
        <f>-(SUMIF(CkReg2022[Category],"=" &amp;CategoryTable81210141618162224[[#This Row],[Category]],CkReg2022[Withdrawal]))</f>
        <v>0</v>
      </c>
      <c r="D41" s="95">
        <v>-50</v>
      </c>
      <c r="E41" s="95"/>
      <c r="F41" s="95">
        <f>-CategoryTable81210141618162224[[#This Row],[Budget]]-CategoryTable81210141618162224[[#This Row],[Amended Budget]]+CategoryTable81210141618162224[[#This Row],[Actual to date]]</f>
        <v>50</v>
      </c>
      <c r="G41" s="95"/>
      <c r="H41" s="499"/>
      <c r="I41" s="500"/>
      <c r="J41" s="501"/>
      <c r="K41" s="501"/>
      <c r="L41" s="501"/>
      <c r="M41" s="502"/>
      <c r="N41" s="503"/>
      <c r="O41" s="451">
        <f>IF(ISBLANK(CkReg2022[[#This Row],[Withdrawal]]),O40+CkReg2022[[#This Row],[Deposit]],O40-CkReg2022[[#This Row],[Withdrawal]])</f>
        <v>13364.79</v>
      </c>
      <c r="P41" s="504"/>
      <c r="Q41" s="451">
        <f>IF(ISBLANK(CkReg2022[[#This Row],[Withdrawal]]),Q40+CkReg2022[[#This Row],[Deposit]],Q40-CkReg2022[[#This Row],[Withdrawal]])</f>
        <v>13364.79</v>
      </c>
      <c r="R41" s="376">
        <v>1</v>
      </c>
    </row>
    <row r="42" spans="2:18" x14ac:dyDescent="0.3">
      <c r="B42" s="94" t="s">
        <v>389</v>
      </c>
      <c r="C42" s="95">
        <f>-(SUMIF(CkReg2022[Category],"=" &amp;CategoryTable81210141618162224[[#This Row],[Category]],CkReg2022[Withdrawal]))</f>
        <v>0</v>
      </c>
      <c r="D42" s="95">
        <v>-250</v>
      </c>
      <c r="E42" s="95"/>
      <c r="F42" s="95">
        <f>-CategoryTable81210141618162224[[#This Row],[Budget]]-CategoryTable81210141618162224[[#This Row],[Amended Budget]]+CategoryTable81210141618162224[[#This Row],[Actual to date]]</f>
        <v>250</v>
      </c>
      <c r="G42" s="95"/>
      <c r="H42" s="499"/>
      <c r="I42" s="500"/>
      <c r="J42" s="501"/>
      <c r="K42" s="501"/>
      <c r="L42" s="501"/>
      <c r="M42" s="502"/>
      <c r="N42" s="503"/>
      <c r="O42" s="451">
        <f>IF(ISBLANK(CkReg2022[[#This Row],[Withdrawal]]),O41+CkReg2022[[#This Row],[Deposit]],O41-CkReg2022[[#This Row],[Withdrawal]])</f>
        <v>13364.79</v>
      </c>
      <c r="P42" s="504"/>
      <c r="Q42" s="451">
        <f>IF(ISBLANK(CkReg2022[[#This Row],[Withdrawal]]),Q41+CkReg2022[[#This Row],[Deposit]],Q41-CkReg2022[[#This Row],[Withdrawal]])</f>
        <v>13364.79</v>
      </c>
      <c r="R42" s="376">
        <v>1</v>
      </c>
    </row>
    <row r="43" spans="2:18" x14ac:dyDescent="0.3">
      <c r="B43" s="94" t="s">
        <v>390</v>
      </c>
      <c r="C43" s="95">
        <f>-(SUMIF(CkReg2022[Category],"=" &amp;CategoryTable81210141618162224[[#This Row],[Category]],CkReg2022[Withdrawal]))</f>
        <v>0</v>
      </c>
      <c r="D43" s="95">
        <v>-100</v>
      </c>
      <c r="E43" s="95"/>
      <c r="F43" s="95">
        <f>-CategoryTable81210141618162224[[#This Row],[Budget]]-CategoryTable81210141618162224[[#This Row],[Amended Budget]]+CategoryTable81210141618162224[[#This Row],[Actual to date]]</f>
        <v>100</v>
      </c>
      <c r="G43" s="95"/>
      <c r="H43" s="499"/>
      <c r="I43" s="500"/>
      <c r="J43" s="501"/>
      <c r="K43" s="501"/>
      <c r="L43" s="501"/>
      <c r="M43" s="502"/>
      <c r="N43" s="503"/>
      <c r="O43" s="451">
        <f>IF(ISBLANK(CkReg2022[[#This Row],[Withdrawal]]),O42+CkReg2022[[#This Row],[Deposit]],O42-CkReg2022[[#This Row],[Withdrawal]])</f>
        <v>13364.79</v>
      </c>
      <c r="P43" s="504"/>
      <c r="Q43" s="451">
        <f>IF(ISBLANK(CkReg2022[[#This Row],[Withdrawal]]),Q42+CkReg2022[[#This Row],[Deposit]],Q42-CkReg2022[[#This Row],[Withdrawal]])</f>
        <v>13364.79</v>
      </c>
      <c r="R43" s="376">
        <v>1</v>
      </c>
    </row>
    <row r="44" spans="2:18" x14ac:dyDescent="0.3">
      <c r="B44" s="94" t="s">
        <v>943</v>
      </c>
      <c r="C44" s="95">
        <f>-(SUMIF(CkReg2022[Category],"=" &amp;CategoryTable81210141618162224[[#This Row],[Category]],CkReg2022[Withdrawal]))</f>
        <v>0</v>
      </c>
      <c r="D44" s="95">
        <v>-2551.1174999999998</v>
      </c>
      <c r="E44" s="95"/>
      <c r="F44" s="95">
        <f>-CategoryTable81210141618162224[[#This Row],[Budget]]-CategoryTable81210141618162224[[#This Row],[Amended Budget]]+CategoryTable81210141618162224[[#This Row],[Actual to date]]</f>
        <v>2551.1174999999998</v>
      </c>
      <c r="G44" s="95"/>
      <c r="H44" s="499"/>
      <c r="I44" s="500"/>
      <c r="J44" s="501"/>
      <c r="K44" s="501"/>
      <c r="L44" s="501"/>
      <c r="M44" s="502"/>
      <c r="N44" s="503"/>
      <c r="O44" s="451">
        <f>IF(ISBLANK(CkReg2022[[#This Row],[Withdrawal]]),O43+CkReg2022[[#This Row],[Deposit]],O43-CkReg2022[[#This Row],[Withdrawal]])</f>
        <v>13364.79</v>
      </c>
      <c r="P44" s="504"/>
      <c r="Q44" s="451">
        <f>IF(ISBLANK(CkReg2022[[#This Row],[Withdrawal]]),Q43+CkReg2022[[#This Row],[Deposit]],Q43-CkReg2022[[#This Row],[Withdrawal]])</f>
        <v>13364.79</v>
      </c>
      <c r="R44" s="376">
        <v>1</v>
      </c>
    </row>
    <row r="45" spans="2:18" x14ac:dyDescent="0.3">
      <c r="B45" s="94" t="s">
        <v>944</v>
      </c>
      <c r="C45" s="95">
        <f>-(SUMIF(CkReg2022[Category],"=" &amp;CategoryTable81210141618162224[[#This Row],[Category]],CkReg2022[Withdrawal]))</f>
        <v>0</v>
      </c>
      <c r="D45" s="95">
        <v>-850.37</v>
      </c>
      <c r="E45" s="95"/>
      <c r="F45" s="95">
        <f>-CategoryTable81210141618162224[[#This Row],[Budget]]-CategoryTable81210141618162224[[#This Row],[Amended Budget]]+CategoryTable81210141618162224[[#This Row],[Actual to date]]</f>
        <v>850.37</v>
      </c>
      <c r="G45" s="95"/>
      <c r="H45" s="286"/>
      <c r="I45" s="383"/>
      <c r="J45" s="285"/>
      <c r="K45" s="285"/>
      <c r="L45" s="285"/>
      <c r="M45" s="446"/>
      <c r="N45" s="496"/>
      <c r="O45" s="451">
        <f>IF(ISBLANK(CkReg2022[[#This Row],[Withdrawal]]),O44+CkReg2022[[#This Row],[Deposit]],O44-CkReg2022[[#This Row],[Withdrawal]])</f>
        <v>13364.79</v>
      </c>
      <c r="P45" s="504"/>
      <c r="Q45" s="451">
        <f>IF(ISBLANK(CkReg2022[[#This Row],[Withdrawal]]),Q44+CkReg2022[[#This Row],[Deposit]],Q44-CkReg2022[[#This Row],[Withdrawal]])</f>
        <v>13364.79</v>
      </c>
      <c r="R45" s="376">
        <v>1</v>
      </c>
    </row>
    <row r="46" spans="2:18" x14ac:dyDescent="0.3">
      <c r="B46" s="94" t="s">
        <v>60</v>
      </c>
      <c r="C46" s="95">
        <f>-(SUMIF(CkReg2022[Category],"=" &amp;CategoryTable81210141618162224[[#This Row],[Category]],CkReg2022[Withdrawal]))</f>
        <v>0</v>
      </c>
      <c r="D46" s="95">
        <v>6500</v>
      </c>
      <c r="E46" s="95"/>
      <c r="F46" s="95">
        <f>-CategoryTable81210141618162224[[#This Row],[Budget]]-CategoryTable81210141618162224[[#This Row],[Amended Budget]]+CategoryTable81210141618162224[[#This Row],[Actual to date]]</f>
        <v>-6500</v>
      </c>
      <c r="G46" s="95"/>
      <c r="H46" s="286"/>
      <c r="I46" s="383"/>
      <c r="J46" s="285"/>
      <c r="K46" s="285"/>
      <c r="L46" s="285"/>
      <c r="M46" s="446"/>
      <c r="N46" s="496"/>
      <c r="O46" s="451">
        <f>IF(ISBLANK(CkReg2022[[#This Row],[Withdrawal]]),O45+CkReg2022[[#This Row],[Deposit]],O45-CkReg2022[[#This Row],[Withdrawal]])</f>
        <v>13364.79</v>
      </c>
      <c r="P46" s="504"/>
      <c r="Q46" s="451">
        <f>IF(ISBLANK(CkReg2022[[#This Row],[Withdrawal]]),Q45+CkReg2022[[#This Row],[Deposit]],Q45-CkReg2022[[#This Row],[Withdrawal]])</f>
        <v>13364.79</v>
      </c>
      <c r="R46" s="376">
        <v>1</v>
      </c>
    </row>
    <row r="47" spans="2:18" x14ac:dyDescent="0.3">
      <c r="B47" s="94" t="s">
        <v>1079</v>
      </c>
      <c r="C47" s="95">
        <f>-(SUMIF(CkReg2022[Category],"=" &amp;CategoryTable81210141618162224[[#This Row],[Category]],CkReg2022[Withdrawal]))</f>
        <v>0</v>
      </c>
      <c r="D47" s="95">
        <v>-5000</v>
      </c>
      <c r="E47" s="95"/>
      <c r="F47" s="95">
        <f>-CategoryTable81210141618162224[[#This Row],[Budget]]-CategoryTable81210141618162224[[#This Row],[Amended Budget]]+CategoryTable81210141618162224[[#This Row],[Actual to date]]</f>
        <v>5000</v>
      </c>
      <c r="G47" s="95"/>
      <c r="H47" s="286"/>
      <c r="I47" s="383"/>
      <c r="J47" s="285"/>
      <c r="K47" s="285"/>
      <c r="L47" s="285"/>
      <c r="M47" s="446"/>
      <c r="N47" s="496"/>
      <c r="O47" s="451">
        <f>IF(ISBLANK(CkReg2022[[#This Row],[Withdrawal]]),O46+CkReg2022[[#This Row],[Deposit]],O46-CkReg2022[[#This Row],[Withdrawal]])</f>
        <v>13364.79</v>
      </c>
      <c r="P47" s="504"/>
      <c r="Q47" s="451">
        <f>IF(ISBLANK(CkReg2022[[#This Row],[Withdrawal]]),Q46+CkReg2022[[#This Row],[Deposit]],Q46-CkReg2022[[#This Row],[Withdrawal]])</f>
        <v>13364.79</v>
      </c>
      <c r="R47" s="376">
        <v>1</v>
      </c>
    </row>
    <row r="48" spans="2:18" x14ac:dyDescent="0.3">
      <c r="B48" s="94" t="s">
        <v>918</v>
      </c>
      <c r="C48" s="95">
        <f>-(SUMIF(CkReg2022[Category],"=" &amp;CategoryTable81210141618162224[[#This Row],[Category]],CkReg2022[Withdrawal]))</f>
        <v>0</v>
      </c>
      <c r="D48" s="95">
        <v>-100</v>
      </c>
      <c r="E48" s="95"/>
      <c r="F48" s="95">
        <f>-CategoryTable81210141618162224[[#This Row],[Budget]]-CategoryTable81210141618162224[[#This Row],[Amended Budget]]+CategoryTable81210141618162224[[#This Row],[Actual to date]]</f>
        <v>100</v>
      </c>
      <c r="G48" s="95"/>
      <c r="H48" s="286"/>
      <c r="I48" s="383"/>
      <c r="J48" s="285"/>
      <c r="K48" s="285"/>
      <c r="L48" s="285"/>
      <c r="M48" s="446"/>
      <c r="N48" s="496"/>
      <c r="O48" s="451">
        <f>IF(ISBLANK(CkReg2022[[#This Row],[Withdrawal]]),O47+CkReg2022[[#This Row],[Deposit]],O47-CkReg2022[[#This Row],[Withdrawal]])</f>
        <v>13364.79</v>
      </c>
      <c r="P48" s="504"/>
      <c r="Q48" s="451">
        <f>IF(ISBLANK(CkReg2022[[#This Row],[Withdrawal]]),Q47+CkReg2022[[#This Row],[Deposit]],Q47-CkReg2022[[#This Row],[Withdrawal]])</f>
        <v>13364.79</v>
      </c>
      <c r="R48" s="376">
        <v>1</v>
      </c>
    </row>
    <row r="49" spans="2:18" x14ac:dyDescent="0.3">
      <c r="B49" s="94" t="s">
        <v>61</v>
      </c>
      <c r="C49" s="95">
        <f>-(SUMIF(CkReg2022[Category],"=" &amp;CategoryTable81210141618162224[[#This Row],[Category]],CkReg2022[Withdrawal]))</f>
        <v>0</v>
      </c>
      <c r="D49" s="95">
        <v>18600</v>
      </c>
      <c r="E49" s="95"/>
      <c r="F49" s="95">
        <f>-CategoryTable81210141618162224[[#This Row],[Budget]]-CategoryTable81210141618162224[[#This Row],[Amended Budget]]+CategoryTable81210141618162224[[#This Row],[Actual to date]]</f>
        <v>-18600</v>
      </c>
      <c r="G49" s="95"/>
      <c r="H49" s="499"/>
      <c r="I49" s="500"/>
      <c r="J49" s="501"/>
      <c r="K49" s="501"/>
      <c r="L49" s="501"/>
      <c r="M49" s="502"/>
      <c r="N49" s="503"/>
      <c r="O49" s="451">
        <f>IF(ISBLANK(CkReg2022[[#This Row],[Withdrawal]]),O48+CkReg2022[[#This Row],[Deposit]],O48-CkReg2022[[#This Row],[Withdrawal]])</f>
        <v>13364.79</v>
      </c>
      <c r="P49" s="504"/>
      <c r="Q49" s="451">
        <f>IF(ISBLANK(CkReg2022[[#This Row],[Withdrawal]]),Q48+CkReg2022[[#This Row],[Deposit]],Q48-CkReg2022[[#This Row],[Withdrawal]])</f>
        <v>13364.79</v>
      </c>
      <c r="R49" s="376">
        <v>1</v>
      </c>
    </row>
    <row r="50" spans="2:18" x14ac:dyDescent="0.3">
      <c r="B50" s="94" t="s">
        <v>919</v>
      </c>
      <c r="C50" s="95">
        <f>-(SUMIF(CkReg2022[Category],"=" &amp;CategoryTable81210141618162224[[#This Row],[Category]],CkReg2022[Withdrawal]))</f>
        <v>0</v>
      </c>
      <c r="D50" s="95">
        <v>-300</v>
      </c>
      <c r="E50" s="95"/>
      <c r="F50" s="95">
        <f>-CategoryTable81210141618162224[[#This Row],[Budget]]-CategoryTable81210141618162224[[#This Row],[Amended Budget]]+CategoryTable81210141618162224[[#This Row],[Actual to date]]</f>
        <v>300</v>
      </c>
      <c r="G50" s="95"/>
      <c r="H50" s="286"/>
      <c r="I50" s="383"/>
      <c r="J50" s="285"/>
      <c r="K50" s="285"/>
      <c r="L50" s="285"/>
      <c r="M50" s="446"/>
      <c r="N50" s="496"/>
      <c r="O50" s="451">
        <f>IF(ISBLANK(CkReg2022[[#This Row],[Withdrawal]]),O49+CkReg2022[[#This Row],[Deposit]],O49-CkReg2022[[#This Row],[Withdrawal]])</f>
        <v>13364.79</v>
      </c>
      <c r="P50" s="504"/>
      <c r="Q50" s="451">
        <f>IF(ISBLANK(CkReg2022[[#This Row],[Withdrawal]]),Q49+CkReg2022[[#This Row],[Deposit]],Q49-CkReg2022[[#This Row],[Withdrawal]])</f>
        <v>13364.79</v>
      </c>
      <c r="R50" s="376">
        <v>1</v>
      </c>
    </row>
    <row r="51" spans="2:18" x14ac:dyDescent="0.3">
      <c r="B51" s="94" t="s">
        <v>1080</v>
      </c>
      <c r="C51" s="95">
        <f>-(SUMIF(CkReg2022[Category],"=" &amp;CategoryTable81210141618162224[[#This Row],[Category]],CkReg2022[Withdrawal]))</f>
        <v>0</v>
      </c>
      <c r="D51" s="95">
        <v>0</v>
      </c>
      <c r="E51" s="95"/>
      <c r="F51" s="95">
        <f>-CategoryTable81210141618162224[[#This Row],[Budget]]-CategoryTable81210141618162224[[#This Row],[Amended Budget]]+CategoryTable81210141618162224[[#This Row],[Actual to date]]</f>
        <v>0</v>
      </c>
      <c r="G51" s="95"/>
      <c r="H51" s="286"/>
      <c r="I51" s="383"/>
      <c r="J51" s="285"/>
      <c r="K51" s="285"/>
      <c r="L51" s="285"/>
      <c r="M51" s="446"/>
      <c r="N51" s="496"/>
      <c r="O51" s="451">
        <f>IF(ISBLANK(CkReg2022[[#This Row],[Withdrawal]]),O50+CkReg2022[[#This Row],[Deposit]],O50-CkReg2022[[#This Row],[Withdrawal]])</f>
        <v>13364.79</v>
      </c>
      <c r="P51" s="504"/>
      <c r="Q51" s="451">
        <f>IF(ISBLANK(CkReg2022[[#This Row],[Withdrawal]]),Q50+CkReg2022[[#This Row],[Deposit]],Q50-CkReg2022[[#This Row],[Withdrawal]])</f>
        <v>13364.79</v>
      </c>
      <c r="R51" s="376">
        <v>1</v>
      </c>
    </row>
    <row r="52" spans="2:18" x14ac:dyDescent="0.3">
      <c r="B52" s="94" t="s">
        <v>1081</v>
      </c>
      <c r="C52" s="95">
        <f>-(SUMIF(CkReg2022[Category],"=" &amp;CategoryTable81210141618162224[[#This Row],[Category]],CkReg2022[Withdrawal]))</f>
        <v>0</v>
      </c>
      <c r="D52" s="95">
        <v>-250</v>
      </c>
      <c r="E52" s="95"/>
      <c r="F52" s="95">
        <f>-CategoryTable81210141618162224[[#This Row],[Budget]]-CategoryTable81210141618162224[[#This Row],[Amended Budget]]+CategoryTable81210141618162224[[#This Row],[Actual to date]]</f>
        <v>250</v>
      </c>
      <c r="G52" s="95"/>
      <c r="H52" s="286"/>
      <c r="I52" s="383"/>
      <c r="J52" s="285"/>
      <c r="K52" s="285"/>
      <c r="L52" s="285"/>
      <c r="M52" s="446"/>
      <c r="N52" s="496"/>
      <c r="O52" s="451">
        <f>IF(ISBLANK(CkReg2022[[#This Row],[Withdrawal]]),O51+CkReg2022[[#This Row],[Deposit]],O51-CkReg2022[[#This Row],[Withdrawal]])</f>
        <v>13364.79</v>
      </c>
      <c r="P52" s="504"/>
      <c r="Q52" s="451">
        <f>IF(ISBLANK(CkReg2022[[#This Row],[Withdrawal]]),Q51+CkReg2022[[#This Row],[Deposit]],Q51-CkReg2022[[#This Row],[Withdrawal]])</f>
        <v>13364.79</v>
      </c>
      <c r="R52" s="376">
        <v>1</v>
      </c>
    </row>
    <row r="53" spans="2:18" x14ac:dyDescent="0.3">
      <c r="B53" s="94" t="s">
        <v>1082</v>
      </c>
      <c r="C53" s="95">
        <f>-(SUMIF(CkReg2022[Category],"=" &amp;CategoryTable81210141618162224[[#This Row],[Category]],CkReg2022[Withdrawal]))</f>
        <v>0</v>
      </c>
      <c r="D53" s="95">
        <v>-100</v>
      </c>
      <c r="E53" s="95"/>
      <c r="F53" s="95">
        <f>-CategoryTable81210141618162224[[#This Row],[Budget]]-CategoryTable81210141618162224[[#This Row],[Amended Budget]]+CategoryTable81210141618162224[[#This Row],[Actual to date]]</f>
        <v>100</v>
      </c>
      <c r="G53" s="95"/>
      <c r="H53" s="286"/>
      <c r="I53" s="383"/>
      <c r="J53" s="285"/>
      <c r="K53" s="285"/>
      <c r="L53" s="285"/>
      <c r="M53" s="446"/>
      <c r="N53" s="496"/>
      <c r="O53" s="451">
        <f>IF(ISBLANK(CkReg2022[[#This Row],[Withdrawal]]),O52+CkReg2022[[#This Row],[Deposit]],O52-CkReg2022[[#This Row],[Withdrawal]])</f>
        <v>13364.79</v>
      </c>
      <c r="P53" s="504"/>
      <c r="Q53" s="451">
        <f>IF(ISBLANK(CkReg2022[[#This Row],[Withdrawal]]),Q52+CkReg2022[[#This Row],[Deposit]],Q52-CkReg2022[[#This Row],[Withdrawal]])</f>
        <v>13364.79</v>
      </c>
      <c r="R53" s="376">
        <v>1</v>
      </c>
    </row>
    <row r="54" spans="2:18" x14ac:dyDescent="0.3">
      <c r="B54" s="94" t="s">
        <v>63</v>
      </c>
      <c r="C54" s="95">
        <f>-(SUMIF(CkReg2022[Category],"=" &amp;CategoryTable81210141618162224[[#This Row],[Category]],CkReg2022[Withdrawal]))</f>
        <v>0</v>
      </c>
      <c r="D54" s="95">
        <v>-100</v>
      </c>
      <c r="E54" s="95"/>
      <c r="F54" s="95">
        <f>-CategoryTable81210141618162224[[#This Row],[Budget]]-CategoryTable81210141618162224[[#This Row],[Amended Budget]]+CategoryTable81210141618162224[[#This Row],[Actual to date]]</f>
        <v>100</v>
      </c>
      <c r="G54" s="95"/>
      <c r="H54" s="286"/>
      <c r="I54" s="383"/>
      <c r="J54" s="285"/>
      <c r="K54" s="285"/>
      <c r="L54" s="285"/>
      <c r="M54" s="446"/>
      <c r="N54" s="496"/>
      <c r="O54" s="451">
        <f>IF(ISBLANK(CkReg2022[[#This Row],[Withdrawal]]),O53+CkReg2022[[#This Row],[Deposit]],O53-CkReg2022[[#This Row],[Withdrawal]])</f>
        <v>13364.79</v>
      </c>
      <c r="P54" s="504"/>
      <c r="Q54" s="451">
        <f>IF(ISBLANK(CkReg2022[[#This Row],[Withdrawal]]),Q53+CkReg2022[[#This Row],[Deposit]],Q53-CkReg2022[[#This Row],[Withdrawal]])</f>
        <v>13364.79</v>
      </c>
      <c r="R54" s="376">
        <v>1</v>
      </c>
    </row>
    <row r="55" spans="2:18" x14ac:dyDescent="0.3">
      <c r="B55" s="94" t="s">
        <v>69</v>
      </c>
      <c r="C55" s="95">
        <f>-(SUMIF(CkReg2022[Category],"=" &amp;CategoryTable81210141618162224[[#This Row],[Category]],CkReg2022[Withdrawal]))</f>
        <v>0</v>
      </c>
      <c r="D55" s="95">
        <v>-8000</v>
      </c>
      <c r="E55" s="95"/>
      <c r="F55" s="95">
        <f>-CategoryTable81210141618162224[[#This Row],[Budget]]-CategoryTable81210141618162224[[#This Row],[Amended Budget]]+CategoryTable81210141618162224[[#This Row],[Actual to date]]</f>
        <v>8000</v>
      </c>
      <c r="G55" s="95"/>
      <c r="H55" s="286"/>
      <c r="I55" s="383"/>
      <c r="J55" s="285"/>
      <c r="K55" s="285"/>
      <c r="L55" s="285"/>
      <c r="M55" s="446"/>
      <c r="N55" s="496"/>
      <c r="O55" s="451">
        <f>IF(ISBLANK(CkReg2022[[#This Row],[Withdrawal]]),O54+CkReg2022[[#This Row],[Deposit]],O54-CkReg2022[[#This Row],[Withdrawal]])</f>
        <v>13364.79</v>
      </c>
      <c r="P55" s="504"/>
      <c r="Q55" s="451">
        <f>IF(ISBLANK(CkReg2022[[#This Row],[Withdrawal]]),Q54+CkReg2022[[#This Row],[Deposit]],Q54-CkReg2022[[#This Row],[Withdrawal]])</f>
        <v>13364.79</v>
      </c>
      <c r="R55" s="376">
        <v>1</v>
      </c>
    </row>
    <row r="56" spans="2:18" x14ac:dyDescent="0.3">
      <c r="B56" s="94" t="s">
        <v>71</v>
      </c>
      <c r="C56" s="95">
        <f>-(SUMIF(CkReg2022[Category],"=" &amp;CategoryTable81210141618162224[[#This Row],[Category]],CkReg2022[Withdrawal]))</f>
        <v>0</v>
      </c>
      <c r="D56" s="95">
        <v>-50</v>
      </c>
      <c r="E56" s="95"/>
      <c r="F56" s="95">
        <f>-CategoryTable81210141618162224[[#This Row],[Budget]]-CategoryTable81210141618162224[[#This Row],[Amended Budget]]+CategoryTable81210141618162224[[#This Row],[Actual to date]]</f>
        <v>50</v>
      </c>
      <c r="G56" s="95"/>
      <c r="H56" s="286"/>
      <c r="I56" s="383"/>
      <c r="J56" s="285"/>
      <c r="K56" s="285"/>
      <c r="L56" s="285"/>
      <c r="M56" s="446"/>
      <c r="N56" s="496"/>
      <c r="O56" s="451">
        <f>IF(ISBLANK(CkReg2022[[#This Row],[Withdrawal]]),O55+CkReg2022[[#This Row],[Deposit]],O55-CkReg2022[[#This Row],[Withdrawal]])</f>
        <v>13364.79</v>
      </c>
      <c r="P56" s="504"/>
      <c r="Q56" s="451">
        <f>IF(ISBLANK(CkReg2022[[#This Row],[Withdrawal]]),Q55+CkReg2022[[#This Row],[Deposit]],Q55-CkReg2022[[#This Row],[Withdrawal]])</f>
        <v>13364.79</v>
      </c>
      <c r="R56" s="376">
        <v>1</v>
      </c>
    </row>
    <row r="57" spans="2:18" x14ac:dyDescent="0.3">
      <c r="B57" s="94" t="s">
        <v>65</v>
      </c>
      <c r="C57" s="95">
        <f>-(SUMIF(CkReg2022[Category],"=" &amp;CategoryTable81210141618162224[[#This Row],[Category]],CkReg2022[Withdrawal]))</f>
        <v>0</v>
      </c>
      <c r="D57" s="95">
        <v>-50</v>
      </c>
      <c r="E57" s="95"/>
      <c r="F57" s="95">
        <f>-CategoryTable81210141618162224[[#This Row],[Budget]]-CategoryTable81210141618162224[[#This Row],[Amended Budget]]+CategoryTable81210141618162224[[#This Row],[Actual to date]]</f>
        <v>50</v>
      </c>
      <c r="G57" s="95"/>
      <c r="H57" s="286"/>
      <c r="I57" s="383"/>
      <c r="J57" s="285"/>
      <c r="K57" s="285"/>
      <c r="L57" s="285"/>
      <c r="M57" s="446"/>
      <c r="N57" s="496"/>
      <c r="O57" s="451">
        <f>IF(ISBLANK(CkReg2022[[#This Row],[Withdrawal]]),O56+CkReg2022[[#This Row],[Deposit]],O56-CkReg2022[[#This Row],[Withdrawal]])</f>
        <v>13364.79</v>
      </c>
      <c r="P57" s="504"/>
      <c r="Q57" s="451">
        <f>IF(ISBLANK(CkReg2022[[#This Row],[Withdrawal]]),Q56+CkReg2022[[#This Row],[Deposit]],Q56-CkReg2022[[#This Row],[Withdrawal]])</f>
        <v>13364.79</v>
      </c>
      <c r="R57" s="376">
        <v>1</v>
      </c>
    </row>
    <row r="58" spans="2:18" x14ac:dyDescent="0.3">
      <c r="B58" s="488" t="s">
        <v>64</v>
      </c>
      <c r="C58" s="95">
        <f>SUMIF(CkReg2022[Category],"=" &amp;CategoryTable81210141618162224[[#This Row],[Category]],CkReg2022[Deposit])</f>
        <v>0</v>
      </c>
      <c r="D58" s="489">
        <v>-50</v>
      </c>
      <c r="E58" s="489"/>
      <c r="F58" s="95">
        <f>-CategoryTable81210141618162224[[#This Row],[Budget]]-CategoryTable81210141618162224[[#This Row],[Amended Budget]]+CategoryTable81210141618162224[[#This Row],[Actual to date]]</f>
        <v>50</v>
      </c>
      <c r="G58" s="95"/>
      <c r="H58" s="286"/>
      <c r="I58" s="383"/>
      <c r="J58" s="285"/>
      <c r="K58" s="285"/>
      <c r="L58" s="285"/>
      <c r="M58" s="446"/>
      <c r="N58" s="496"/>
      <c r="O58" s="451">
        <f>IF(ISBLANK(CkReg2022[[#This Row],[Withdrawal]]),O57+CkReg2022[[#This Row],[Deposit]],O57-CkReg2022[[#This Row],[Withdrawal]])</f>
        <v>13364.79</v>
      </c>
      <c r="P58" s="504"/>
      <c r="Q58" s="451">
        <f>IF(ISBLANK(CkReg2022[[#This Row],[Withdrawal]]),Q57+CkReg2022[[#This Row],[Deposit]],Q57-CkReg2022[[#This Row],[Withdrawal]])</f>
        <v>13364.79</v>
      </c>
      <c r="R58" s="376">
        <v>1</v>
      </c>
    </row>
    <row r="59" spans="2:18" x14ac:dyDescent="0.3">
      <c r="B59" s="94" t="s">
        <v>66</v>
      </c>
      <c r="C59" s="95">
        <f>SUMIF(CkReg2022[Category],"=" &amp;CategoryTable81210141618162224[[#This Row],[Category]],CkReg2022[Deposit])</f>
        <v>0</v>
      </c>
      <c r="D59" s="95">
        <v>-6000</v>
      </c>
      <c r="E59" s="95"/>
      <c r="F59" s="95">
        <f>-CategoryTable81210141618162224[[#This Row],[Budget]]+CategoryTable81210141618162224[[#This Row],[Actual to date]]</f>
        <v>6000</v>
      </c>
      <c r="G59" s="95"/>
      <c r="H59" s="286"/>
      <c r="I59" s="383"/>
      <c r="J59" s="285"/>
      <c r="K59" s="285"/>
      <c r="L59" s="285"/>
      <c r="M59" s="446"/>
      <c r="N59" s="496"/>
      <c r="O59" s="451">
        <f>IF(ISBLANK(CkReg2022[[#This Row],[Withdrawal]]),O58+CkReg2022[[#This Row],[Deposit]],O58-CkReg2022[[#This Row],[Withdrawal]])</f>
        <v>13364.79</v>
      </c>
      <c r="P59" s="504"/>
      <c r="Q59" s="451">
        <f>IF(ISBLANK(CkReg2022[[#This Row],[Withdrawal]]),Q58+CkReg2022[[#This Row],[Deposit]],Q58-CkReg2022[[#This Row],[Withdrawal]])</f>
        <v>13364.79</v>
      </c>
      <c r="R59" s="376">
        <v>1</v>
      </c>
    </row>
    <row r="60" spans="2:18" x14ac:dyDescent="0.3">
      <c r="B60" s="94" t="s">
        <v>1083</v>
      </c>
      <c r="C60" s="95">
        <f>SUMIF(CkReg2022[Category],"=" &amp;CategoryTable81210141618162224[[#This Row],[Category]],CkReg2022[Deposit])</f>
        <v>0</v>
      </c>
      <c r="D60" s="95">
        <v>-100</v>
      </c>
      <c r="E60" s="95"/>
      <c r="F60" s="95">
        <f>-CategoryTable81210141618162224[[#This Row],[Budget]]-CategoryTable81210141618162224[[#This Row],[Amended Budget]]+CategoryTable81210141618162224[[#This Row],[Actual to date]]</f>
        <v>100</v>
      </c>
      <c r="G60" s="95"/>
      <c r="H60" s="286"/>
      <c r="I60" s="383"/>
      <c r="J60" s="285"/>
      <c r="K60" s="285"/>
      <c r="L60" s="285"/>
      <c r="M60" s="446"/>
      <c r="N60" s="496"/>
      <c r="O60" s="451">
        <f>IF(ISBLANK(CkReg2022[[#This Row],[Withdrawal]]),O59+CkReg2022[[#This Row],[Deposit]],O59-CkReg2022[[#This Row],[Withdrawal]])</f>
        <v>13364.79</v>
      </c>
      <c r="P60" s="504"/>
      <c r="Q60" s="451">
        <f>IF(ISBLANK(CkReg2022[[#This Row],[Withdrawal]]),Q59+CkReg2022[[#This Row],[Deposit]],Q59-CkReg2022[[#This Row],[Withdrawal]])</f>
        <v>13364.79</v>
      </c>
      <c r="R60" s="376">
        <v>1</v>
      </c>
    </row>
    <row r="61" spans="2:18" x14ac:dyDescent="0.3">
      <c r="B61" s="94" t="s">
        <v>68</v>
      </c>
      <c r="C61" s="95">
        <f>-(SUMIF(CkReg2022[Category],"=" &amp;CategoryTable81210141618162224[[#This Row],[Category]],CkReg2022[Withdrawal]))</f>
        <v>0</v>
      </c>
      <c r="D61" s="95">
        <v>-1000</v>
      </c>
      <c r="E61" s="95"/>
      <c r="F61" s="95">
        <f>-CategoryTable81210141618162224[[#This Row],[Budget]]-CategoryTable81210141618162224[[#This Row],[Amended Budget]]+CategoryTable81210141618162224[[#This Row],[Actual to date]]</f>
        <v>1000</v>
      </c>
      <c r="G61" s="95"/>
      <c r="H61" s="286"/>
      <c r="I61" s="383"/>
      <c r="J61" s="285"/>
      <c r="K61" s="285"/>
      <c r="L61" s="285"/>
      <c r="M61" s="446"/>
      <c r="N61" s="496"/>
      <c r="O61" s="451">
        <f>IF(ISBLANK(CkReg2022[[#This Row],[Withdrawal]]),O60+CkReg2022[[#This Row],[Deposit]],O60-CkReg2022[[#This Row],[Withdrawal]])</f>
        <v>13364.79</v>
      </c>
      <c r="P61" s="504"/>
      <c r="Q61" s="451">
        <f>IF(ISBLANK(CkReg2022[[#This Row],[Withdrawal]]),Q60+CkReg2022[[#This Row],[Deposit]],Q60-CkReg2022[[#This Row],[Withdrawal]])</f>
        <v>13364.79</v>
      </c>
      <c r="R61" s="376">
        <v>1</v>
      </c>
    </row>
    <row r="62" spans="2:18" x14ac:dyDescent="0.3">
      <c r="B62" s="94" t="s">
        <v>920</v>
      </c>
      <c r="C62" s="95">
        <f>-(SUMIF(CkReg2022[Category],"=" &amp;CategoryTable81210141618162224[[#This Row],[Category]],CkReg2022[Withdrawal]))</f>
        <v>0</v>
      </c>
      <c r="D62" s="95">
        <v>-500</v>
      </c>
      <c r="E62" s="95"/>
      <c r="F62" s="95">
        <f>-CategoryTable81210141618162224[[#This Row],[Budget]]-CategoryTable81210141618162224[[#This Row],[Amended Budget]]+CategoryTable81210141618162224[[#This Row],[Actual to date]]</f>
        <v>500</v>
      </c>
      <c r="G62" s="95"/>
      <c r="H62" s="286"/>
      <c r="I62" s="383"/>
      <c r="J62" s="285"/>
      <c r="K62" s="285"/>
      <c r="L62" s="285"/>
      <c r="M62" s="446"/>
      <c r="N62" s="497"/>
      <c r="O62" s="451">
        <f>IF(ISBLANK(CkReg2022[[#This Row],[Withdrawal]]),O61+CkReg2022[[#This Row],[Deposit]],O61-CkReg2022[[#This Row],[Withdrawal]])</f>
        <v>13364.79</v>
      </c>
      <c r="P62" s="504"/>
      <c r="Q62" s="451">
        <f>IF(ISBLANK(CkReg2022[[#This Row],[Withdrawal]]),Q61+CkReg2022[[#This Row],[Deposit]],Q61-CkReg2022[[#This Row],[Withdrawal]])</f>
        <v>13364.79</v>
      </c>
      <c r="R62" s="376">
        <v>1</v>
      </c>
    </row>
    <row r="63" spans="2:18" x14ac:dyDescent="0.3">
      <c r="B63" s="94" t="s">
        <v>73</v>
      </c>
      <c r="C63" s="95">
        <f>-(SUMIF(CkReg2022[Category],"=" &amp;CategoryTable81210141618162224[[#This Row],[Category]],CkReg2022[Withdrawal]))</f>
        <v>0</v>
      </c>
      <c r="D63" s="95">
        <v>-100</v>
      </c>
      <c r="E63" s="95"/>
      <c r="F63" s="95">
        <f>-CategoryTable81210141618162224[[#This Row],[Budget]]-CategoryTable81210141618162224[[#This Row],[Amended Budget]]+CategoryTable81210141618162224[[#This Row],[Actual to date]]</f>
        <v>100</v>
      </c>
      <c r="G63" s="95"/>
      <c r="H63" s="286"/>
      <c r="I63" s="383"/>
      <c r="J63" s="285"/>
      <c r="K63" s="285"/>
      <c r="L63" s="285"/>
      <c r="M63" s="446"/>
      <c r="N63" s="496"/>
      <c r="O63" s="451">
        <f>IF(ISBLANK(CkReg2022[[#This Row],[Withdrawal]]),O62+CkReg2022[[#This Row],[Deposit]],O62-CkReg2022[[#This Row],[Withdrawal]])</f>
        <v>13364.79</v>
      </c>
      <c r="P63" s="504"/>
      <c r="Q63" s="451">
        <f>IF(ISBLANK(CkReg2022[[#This Row],[Withdrawal]]),Q62+CkReg2022[[#This Row],[Deposit]],Q62-CkReg2022[[#This Row],[Withdrawal]])</f>
        <v>13364.79</v>
      </c>
      <c r="R63" s="376">
        <v>1</v>
      </c>
    </row>
    <row r="64" spans="2:18" x14ac:dyDescent="0.3">
      <c r="B64" s="569"/>
      <c r="C64" s="570"/>
      <c r="D64" s="570"/>
      <c r="E64" s="570"/>
      <c r="F64" s="570"/>
      <c r="G64" s="95"/>
      <c r="H64" s="286"/>
      <c r="I64" s="383"/>
      <c r="J64" s="285"/>
      <c r="K64" s="285"/>
      <c r="L64" s="285"/>
      <c r="M64" s="446"/>
      <c r="N64" s="496"/>
      <c r="O64" s="451">
        <f>IF(ISBLANK(CkReg2022[[#This Row],[Withdrawal]]),O63+CkReg2022[[#This Row],[Deposit]],O63-CkReg2022[[#This Row],[Withdrawal]])</f>
        <v>13364.79</v>
      </c>
      <c r="P64" s="504"/>
      <c r="Q64" s="451">
        <f>IF(ISBLANK(CkReg2022[[#This Row],[Withdrawal]]),Q63+CkReg2022[[#This Row],[Deposit]],Q63-CkReg2022[[#This Row],[Withdrawal]])</f>
        <v>13364.79</v>
      </c>
      <c r="R64" s="376">
        <v>1</v>
      </c>
    </row>
    <row r="65" spans="2:18" ht="14.4" thickBot="1" x14ac:dyDescent="0.35">
      <c r="B65" s="571" t="s">
        <v>17</v>
      </c>
      <c r="C65" s="196">
        <f>SUBTOTAL(109,C17:C63)</f>
        <v>13364.79</v>
      </c>
      <c r="D65" s="196">
        <f t="shared" ref="D65:E65" si="0">SUBTOTAL(109,D17:D63)</f>
        <v>2.4999999986903276E-3</v>
      </c>
      <c r="E65" s="196">
        <f t="shared" si="0"/>
        <v>0</v>
      </c>
      <c r="F65" s="196">
        <f>SUBTOTAL(109,F17:F63)</f>
        <v>13364.787500000002</v>
      </c>
      <c r="G65" s="95"/>
      <c r="H65" s="286"/>
      <c r="I65" s="383"/>
      <c r="J65" s="285"/>
      <c r="K65" s="285"/>
      <c r="L65" s="285"/>
      <c r="M65" s="446"/>
      <c r="N65" s="496"/>
      <c r="O65" s="451">
        <f>IF(ISBLANK(CkReg2022[[#This Row],[Withdrawal]]),O64+CkReg2022[[#This Row],[Deposit]],O64-CkReg2022[[#This Row],[Withdrawal]])</f>
        <v>13364.79</v>
      </c>
      <c r="P65" s="504"/>
      <c r="Q65" s="451">
        <f>IF(ISBLANK(CkReg2022[[#This Row],[Withdrawal]]),Q64+CkReg2022[[#This Row],[Deposit]],Q64-CkReg2022[[#This Row],[Withdrawal]])</f>
        <v>13364.79</v>
      </c>
      <c r="R65" s="376">
        <v>1</v>
      </c>
    </row>
    <row r="66" spans="2:18" ht="14.4" thickTop="1" x14ac:dyDescent="0.3">
      <c r="B66" s="94" t="s">
        <v>1085</v>
      </c>
      <c r="C66" s="570">
        <f>+CkReg2022[[#Totals],[Available Balance]]</f>
        <v>13364.79</v>
      </c>
      <c r="D66" s="570"/>
      <c r="E66" s="570">
        <f>+CategoryTable81210141618162224[[#This Row],[Budget]]</f>
        <v>0</v>
      </c>
      <c r="F66" s="215">
        <f>-CategoryTable81210141618162224[[#This Row],[Budget]]+CategoryTable81210141618162224[[#This Row],[Actual to date]]</f>
        <v>13364.79</v>
      </c>
      <c r="H66" s="286"/>
      <c r="I66" s="383"/>
      <c r="J66" s="285"/>
      <c r="K66" s="285"/>
      <c r="L66" s="285"/>
      <c r="M66" s="446"/>
      <c r="N66" s="496"/>
      <c r="O66" s="451">
        <f>IF(ISBLANK(CkReg2022[[#This Row],[Withdrawal]]),O65+CkReg2022[[#This Row],[Deposit]],O65-CkReg2022[[#This Row],[Withdrawal]])</f>
        <v>13364.79</v>
      </c>
      <c r="P66" s="504"/>
      <c r="Q66" s="451">
        <f>IF(ISBLANK(CkReg2022[[#This Row],[Withdrawal]]),Q65+CkReg2022[[#This Row],[Deposit]],Q65-CkReg2022[[#This Row],[Withdrawal]])</f>
        <v>13364.79</v>
      </c>
      <c r="R66" s="376">
        <v>1</v>
      </c>
    </row>
    <row r="67" spans="2:18" x14ac:dyDescent="0.3">
      <c r="B67" s="94" t="s">
        <v>1086</v>
      </c>
      <c r="C67" s="570">
        <f>+C65-C66</f>
        <v>0</v>
      </c>
      <c r="D67" s="570"/>
      <c r="E67" s="570">
        <f>+CategoryTable81210141618162224[[#This Row],[Budget]]</f>
        <v>0</v>
      </c>
      <c r="F67" s="215">
        <f>-CategoryTable81210141618162224[[#This Row],[Budget]]+CategoryTable81210141618162224[[#This Row],[Actual to date]]</f>
        <v>0</v>
      </c>
      <c r="H67" s="286"/>
      <c r="I67" s="383"/>
      <c r="J67" s="285"/>
      <c r="K67" s="285"/>
      <c r="L67" s="285"/>
      <c r="M67" s="446"/>
      <c r="N67" s="496"/>
      <c r="O67" s="451">
        <f>IF(ISBLANK(CkReg2022[[#This Row],[Withdrawal]]),O66+CkReg2022[[#This Row],[Deposit]],O66-CkReg2022[[#This Row],[Withdrawal]])</f>
        <v>13364.79</v>
      </c>
      <c r="P67" s="504"/>
      <c r="Q67" s="451">
        <f>IF(ISBLANK(CkReg2022[[#This Row],[Withdrawal]]),Q66+CkReg2022[[#This Row],[Deposit]],Q66-CkReg2022[[#This Row],[Withdrawal]])</f>
        <v>13364.79</v>
      </c>
      <c r="R67" s="376">
        <v>1</v>
      </c>
    </row>
    <row r="68" spans="2:18" x14ac:dyDescent="0.3">
      <c r="B68" s="572"/>
      <c r="C68" s="570"/>
      <c r="D68" s="570"/>
      <c r="E68" s="570"/>
      <c r="F68" s="215"/>
      <c r="H68" s="286"/>
      <c r="I68" s="383"/>
      <c r="J68" s="285"/>
      <c r="K68" s="285"/>
      <c r="L68" s="285"/>
      <c r="M68" s="446"/>
      <c r="N68" s="496"/>
      <c r="O68" s="451">
        <f>IF(ISBLANK(CkReg2022[[#This Row],[Withdrawal]]),O67+CkReg2022[[#This Row],[Deposit]],O67-CkReg2022[[#This Row],[Withdrawal]])</f>
        <v>13364.79</v>
      </c>
      <c r="P68" s="504"/>
      <c r="Q68" s="451">
        <f>IF(ISBLANK(CkReg2022[[#This Row],[Withdrawal]]),Q67+CkReg2022[[#This Row],[Deposit]],Q67-CkReg2022[[#This Row],[Withdrawal]])</f>
        <v>13364.79</v>
      </c>
      <c r="R68" s="376">
        <v>1</v>
      </c>
    </row>
    <row r="69" spans="2:18" x14ac:dyDescent="0.3">
      <c r="B69" s="94" t="s">
        <v>950</v>
      </c>
      <c r="C69" s="95">
        <f>SUM(C57:C63)</f>
        <v>0</v>
      </c>
      <c r="D69" s="95">
        <f>SUM(D46:D63)</f>
        <v>3400</v>
      </c>
      <c r="E69" s="95"/>
      <c r="F69" s="95">
        <f>SUM(F46:F63)</f>
        <v>-3400</v>
      </c>
      <c r="H69" s="286"/>
      <c r="I69" s="383"/>
      <c r="J69" s="285"/>
      <c r="K69" s="285"/>
      <c r="L69" s="285"/>
      <c r="M69" s="446"/>
      <c r="N69" s="496"/>
      <c r="O69" s="451">
        <f>IF(ISBLANK(CkReg2022[[#This Row],[Withdrawal]]),O68+CkReg2022[[#This Row],[Deposit]],O68-CkReg2022[[#This Row],[Withdrawal]])</f>
        <v>13364.79</v>
      </c>
      <c r="P69" s="504"/>
      <c r="Q69" s="451">
        <f>IF(ISBLANK(CkReg2022[[#This Row],[Withdrawal]]),Q68+CkReg2022[[#This Row],[Deposit]],Q68-CkReg2022[[#This Row],[Withdrawal]])</f>
        <v>13364.79</v>
      </c>
      <c r="R69" s="376">
        <v>1</v>
      </c>
    </row>
    <row r="70" spans="2:18" x14ac:dyDescent="0.3">
      <c r="B70" s="94"/>
      <c r="C70" s="95"/>
      <c r="D70" s="95"/>
      <c r="E70" s="95"/>
      <c r="F70" s="95"/>
      <c r="H70" s="286"/>
      <c r="I70" s="383"/>
      <c r="J70" s="285"/>
      <c r="K70" s="285"/>
      <c r="L70" s="285"/>
      <c r="M70" s="446"/>
      <c r="N70" s="496"/>
      <c r="O70" s="451">
        <f>IF(ISBLANK(CkReg2022[[#This Row],[Withdrawal]]),O69+CkReg2022[[#This Row],[Deposit]],O69-CkReg2022[[#This Row],[Withdrawal]])</f>
        <v>13364.79</v>
      </c>
      <c r="P70" s="504"/>
      <c r="Q70" s="451">
        <f>IF(ISBLANK(CkReg2022[[#This Row],[Withdrawal]]),Q69+CkReg2022[[#This Row],[Deposit]],Q69-CkReg2022[[#This Row],[Withdrawal]])</f>
        <v>13364.79</v>
      </c>
      <c r="R70" s="376">
        <v>1</v>
      </c>
    </row>
    <row r="71" spans="2:18" x14ac:dyDescent="0.3">
      <c r="B71" s="94"/>
      <c r="C71" s="95"/>
      <c r="D71" s="95"/>
      <c r="E71" s="95"/>
      <c r="F71" s="95"/>
      <c r="H71" s="286"/>
      <c r="I71" s="383"/>
      <c r="J71" s="285"/>
      <c r="K71" s="285"/>
      <c r="L71" s="285"/>
      <c r="M71" s="446"/>
      <c r="N71" s="496"/>
      <c r="O71" s="451">
        <f>IF(ISBLANK(CkReg2022[[#This Row],[Withdrawal]]),O70+CkReg2022[[#This Row],[Deposit]],O70-CkReg2022[[#This Row],[Withdrawal]])</f>
        <v>13364.79</v>
      </c>
      <c r="P71" s="504"/>
      <c r="Q71" s="451">
        <f>IF(ISBLANK(CkReg2022[[#This Row],[Withdrawal]]),Q70+CkReg2022[[#This Row],[Deposit]],Q70-CkReg2022[[#This Row],[Withdrawal]])</f>
        <v>13364.79</v>
      </c>
      <c r="R71" s="376">
        <v>1</v>
      </c>
    </row>
    <row r="72" spans="2:18" ht="12.75" customHeight="1" x14ac:dyDescent="0.3">
      <c r="B72" s="467" t="s">
        <v>872</v>
      </c>
      <c r="C72" s="444"/>
      <c r="D72" s="444"/>
      <c r="E72" s="444"/>
      <c r="F72" s="445"/>
      <c r="H72" s="286"/>
      <c r="I72" s="383"/>
      <c r="J72" s="285"/>
      <c r="K72" s="285"/>
      <c r="L72" s="285"/>
      <c r="M72" s="446"/>
      <c r="N72" s="496"/>
      <c r="O72" s="451">
        <f>IF(ISBLANK(CkReg2022[[#This Row],[Withdrawal]]),O71+CkReg2022[[#This Row],[Deposit]],O71-CkReg2022[[#This Row],[Withdrawal]])</f>
        <v>13364.79</v>
      </c>
      <c r="P72" s="504"/>
      <c r="Q72" s="451">
        <f>IF(ISBLANK(CkReg2022[[#This Row],[Withdrawal]]),Q71+CkReg2022[[#This Row],[Deposit]],Q71-CkReg2022[[#This Row],[Withdrawal]])</f>
        <v>13364.79</v>
      </c>
      <c r="R72" s="376">
        <v>1</v>
      </c>
    </row>
    <row r="73" spans="2:18" ht="12.75" customHeight="1" x14ac:dyDescent="0.3">
      <c r="B73" s="550"/>
      <c r="C73" s="551"/>
      <c r="D73" s="551"/>
      <c r="E73" s="551"/>
      <c r="F73" s="552"/>
      <c r="H73" s="286"/>
      <c r="I73" s="383"/>
      <c r="J73" s="285"/>
      <c r="K73" s="285"/>
      <c r="L73" s="285"/>
      <c r="M73" s="446"/>
      <c r="N73" s="496"/>
      <c r="O73" s="451">
        <f>IF(ISBLANK(CkReg2022[[#This Row],[Withdrawal]]),O72+CkReg2022[[#This Row],[Deposit]],O72-CkReg2022[[#This Row],[Withdrawal]])</f>
        <v>13364.79</v>
      </c>
      <c r="P73" s="504"/>
      <c r="Q73" s="451">
        <f>IF(ISBLANK(CkReg2022[[#This Row],[Withdrawal]]),Q72+CkReg2022[[#This Row],[Deposit]],Q72-CkReg2022[[#This Row],[Withdrawal]])</f>
        <v>13364.79</v>
      </c>
      <c r="R73" s="376">
        <v>1</v>
      </c>
    </row>
    <row r="74" spans="2:18" x14ac:dyDescent="0.3">
      <c r="B74" s="550"/>
      <c r="C74" s="551"/>
      <c r="D74" s="551"/>
      <c r="E74" s="551"/>
      <c r="F74" s="552"/>
      <c r="H74" s="286"/>
      <c r="I74" s="383"/>
      <c r="J74" s="285"/>
      <c r="K74" s="285"/>
      <c r="L74" s="285"/>
      <c r="M74" s="446"/>
      <c r="N74" s="497"/>
      <c r="O74" s="451">
        <f>IF(ISBLANK(CkReg2022[[#This Row],[Withdrawal]]),O73+CkReg2022[[#This Row],[Deposit]],O73-CkReg2022[[#This Row],[Withdrawal]])</f>
        <v>13364.79</v>
      </c>
      <c r="P74" s="504"/>
      <c r="Q74" s="451">
        <f>IF(ISBLANK(CkReg2022[[#This Row],[Withdrawal]]),Q73+CkReg2022[[#This Row],[Deposit]],Q73-CkReg2022[[#This Row],[Withdrawal]])</f>
        <v>13364.79</v>
      </c>
      <c r="R74" s="376">
        <v>1</v>
      </c>
    </row>
    <row r="75" spans="2:18" x14ac:dyDescent="0.3">
      <c r="B75" s="550"/>
      <c r="C75" s="551"/>
      <c r="D75" s="551"/>
      <c r="E75" s="551"/>
      <c r="F75" s="552"/>
      <c r="H75" s="286"/>
      <c r="I75" s="383"/>
      <c r="J75" s="285"/>
      <c r="K75" s="285"/>
      <c r="L75" s="285"/>
      <c r="M75" s="446"/>
      <c r="N75" s="496"/>
      <c r="O75" s="451">
        <f>IF(ISBLANK(CkReg2022[[#This Row],[Withdrawal]]),O74+CkReg2022[[#This Row],[Deposit]],O74-CkReg2022[[#This Row],[Withdrawal]])</f>
        <v>13364.79</v>
      </c>
      <c r="P75" s="504"/>
      <c r="Q75" s="451">
        <f>IF(ISBLANK(CkReg2022[[#This Row],[Withdrawal]]),Q74+CkReg2022[[#This Row],[Deposit]],Q74-CkReg2022[[#This Row],[Withdrawal]])</f>
        <v>13364.79</v>
      </c>
      <c r="R75" s="376">
        <v>1</v>
      </c>
    </row>
    <row r="76" spans="2:18" x14ac:dyDescent="0.3">
      <c r="B76" s="550"/>
      <c r="C76" s="551"/>
      <c r="D76" s="551"/>
      <c r="E76" s="551"/>
      <c r="F76" s="552"/>
      <c r="H76" s="286"/>
      <c r="I76" s="383"/>
      <c r="J76" s="285"/>
      <c r="K76" s="285"/>
      <c r="L76" s="285"/>
      <c r="M76" s="446"/>
      <c r="N76" s="496"/>
      <c r="O76" s="451">
        <f>IF(ISBLANK(CkReg2022[[#This Row],[Withdrawal]]),O75+CkReg2022[[#This Row],[Deposit]],O75-CkReg2022[[#This Row],[Withdrawal]])</f>
        <v>13364.79</v>
      </c>
      <c r="P76" s="504"/>
      <c r="Q76" s="451">
        <f>IF(ISBLANK(CkReg2022[[#This Row],[Withdrawal]]),Q75+CkReg2022[[#This Row],[Deposit]],Q75-CkReg2022[[#This Row],[Withdrawal]])</f>
        <v>13364.79</v>
      </c>
      <c r="R76" s="376">
        <v>1</v>
      </c>
    </row>
    <row r="77" spans="2:18" x14ac:dyDescent="0.3">
      <c r="B77" s="550"/>
      <c r="C77" s="551"/>
      <c r="D77" s="551"/>
      <c r="E77" s="551"/>
      <c r="F77" s="552"/>
      <c r="H77" s="286"/>
      <c r="I77" s="383"/>
      <c r="J77" s="285"/>
      <c r="K77" s="285"/>
      <c r="L77" s="285"/>
      <c r="M77" s="446"/>
      <c r="N77" s="496"/>
      <c r="O77" s="451">
        <f>IF(ISBLANK(CkReg2022[[#This Row],[Withdrawal]]),O76+CkReg2022[[#This Row],[Deposit]],O76-CkReg2022[[#This Row],[Withdrawal]])</f>
        <v>13364.79</v>
      </c>
      <c r="P77" s="504"/>
      <c r="Q77" s="451">
        <f>IF(ISBLANK(CkReg2022[[#This Row],[Withdrawal]]),Q76+CkReg2022[[#This Row],[Deposit]],Q76-CkReg2022[[#This Row],[Withdrawal]])</f>
        <v>13364.79</v>
      </c>
      <c r="R77" s="376">
        <v>1</v>
      </c>
    </row>
    <row r="78" spans="2:18" ht="12.75" customHeight="1" x14ac:dyDescent="0.3">
      <c r="B78" s="553"/>
      <c r="C78" s="554"/>
      <c r="D78" s="554"/>
      <c r="E78" s="554"/>
      <c r="F78" s="555"/>
      <c r="H78" s="286"/>
      <c r="I78" s="383"/>
      <c r="J78" s="285"/>
      <c r="K78" s="285"/>
      <c r="L78" s="285"/>
      <c r="M78" s="446"/>
      <c r="N78" s="496"/>
      <c r="O78" s="451">
        <f>IF(ISBLANK(CkReg2022[[#This Row],[Withdrawal]]),O77+CkReg2022[[#This Row],[Deposit]],O77-CkReg2022[[#This Row],[Withdrawal]])</f>
        <v>13364.79</v>
      </c>
      <c r="P78" s="504"/>
      <c r="Q78" s="451">
        <f>IF(ISBLANK(CkReg2022[[#This Row],[Withdrawal]]),Q77+CkReg2022[[#This Row],[Deposit]],Q77-CkReg2022[[#This Row],[Withdrawal]])</f>
        <v>13364.79</v>
      </c>
      <c r="R78" s="376">
        <v>1</v>
      </c>
    </row>
    <row r="79" spans="2:18" x14ac:dyDescent="0.3">
      <c r="H79" s="286"/>
      <c r="I79" s="383"/>
      <c r="J79" s="285"/>
      <c r="K79" s="285"/>
      <c r="L79" s="285"/>
      <c r="M79" s="446"/>
      <c r="N79" s="497"/>
      <c r="O79" s="451">
        <f>IF(ISBLANK(CkReg2022[[#This Row],[Withdrawal]]),O78+CkReg2022[[#This Row],[Deposit]],O78-CkReg2022[[#This Row],[Withdrawal]])</f>
        <v>13364.79</v>
      </c>
      <c r="P79" s="504"/>
      <c r="Q79" s="451">
        <f>IF(ISBLANK(CkReg2022[[#This Row],[Withdrawal]]),Q78+CkReg2022[[#This Row],[Deposit]],Q78-CkReg2022[[#This Row],[Withdrawal]])</f>
        <v>13364.79</v>
      </c>
      <c r="R79" s="376">
        <v>1</v>
      </c>
    </row>
    <row r="80" spans="2:18" x14ac:dyDescent="0.3">
      <c r="H80" s="418"/>
      <c r="I80" s="383"/>
      <c r="J80" s="419"/>
      <c r="K80" s="419"/>
      <c r="L80" s="419"/>
      <c r="M80" s="446"/>
      <c r="N80" s="496"/>
      <c r="O80" s="451">
        <f>IF(ISBLANK(CkReg2022[[#This Row],[Withdrawal]]),O79+CkReg2022[[#This Row],[Deposit]],O79-CkReg2022[[#This Row],[Withdrawal]])</f>
        <v>13364.79</v>
      </c>
      <c r="P80" s="504"/>
      <c r="Q80" s="451">
        <f>IF(ISBLANK(CkReg2022[[#This Row],[Withdrawal]]),Q79+CkReg2022[[#This Row],[Deposit]],Q79-CkReg2022[[#This Row],[Withdrawal]])</f>
        <v>13364.79</v>
      </c>
      <c r="R80" s="376">
        <v>1</v>
      </c>
    </row>
    <row r="81" spans="6:18" x14ac:dyDescent="0.3">
      <c r="H81" s="286"/>
      <c r="I81" s="383"/>
      <c r="J81" s="285"/>
      <c r="K81" s="285"/>
      <c r="L81" s="285"/>
      <c r="M81" s="446"/>
      <c r="N81" s="497"/>
      <c r="O81" s="451">
        <f>IF(ISBLANK(CkReg2022[[#This Row],[Withdrawal]]),O80+CkReg2022[[#This Row],[Deposit]],O80-CkReg2022[[#This Row],[Withdrawal]])</f>
        <v>13364.79</v>
      </c>
      <c r="P81" s="504"/>
      <c r="Q81" s="451">
        <f>IF(ISBLANK(CkReg2022[[#This Row],[Withdrawal]]),Q80+CkReg2022[[#This Row],[Deposit]],Q80-CkReg2022[[#This Row],[Withdrawal]])</f>
        <v>13364.79</v>
      </c>
      <c r="R81" s="376">
        <v>1</v>
      </c>
    </row>
    <row r="82" spans="6:18" x14ac:dyDescent="0.3">
      <c r="H82" s="286"/>
      <c r="I82" s="383"/>
      <c r="J82" s="285"/>
      <c r="K82" s="285"/>
      <c r="L82" s="285"/>
      <c r="M82" s="446"/>
      <c r="N82" s="496"/>
      <c r="O82" s="451">
        <f>IF(ISBLANK(CkReg2022[[#This Row],[Withdrawal]]),O81+CkReg2022[[#This Row],[Deposit]],O81-CkReg2022[[#This Row],[Withdrawal]])</f>
        <v>13364.79</v>
      </c>
      <c r="P82" s="504"/>
      <c r="Q82" s="451">
        <f>IF(ISBLANK(CkReg2022[[#This Row],[Withdrawal]]),Q81+CkReg2022[[#This Row],[Deposit]],Q81-CkReg2022[[#This Row],[Withdrawal]])</f>
        <v>13364.79</v>
      </c>
      <c r="R82" s="376">
        <v>1</v>
      </c>
    </row>
    <row r="83" spans="6:18" x14ac:dyDescent="0.3">
      <c r="H83" s="286"/>
      <c r="I83" s="383"/>
      <c r="J83" s="285"/>
      <c r="K83" s="285"/>
      <c r="L83" s="285"/>
      <c r="M83" s="446"/>
      <c r="N83" s="498"/>
      <c r="O83" s="451">
        <f>IF(ISBLANK(CkReg2022[[#This Row],[Withdrawal]]),O82+CkReg2022[[#This Row],[Deposit]],O82-CkReg2022[[#This Row],[Withdrawal]])</f>
        <v>13364.79</v>
      </c>
      <c r="P83" s="504"/>
      <c r="Q83" s="451">
        <f>IF(ISBLANK(CkReg2022[[#This Row],[Withdrawal]]),Q82+CkReg2022[[#This Row],[Deposit]],Q82-CkReg2022[[#This Row],[Withdrawal]])</f>
        <v>13364.79</v>
      </c>
      <c r="R83" s="376">
        <v>1</v>
      </c>
    </row>
    <row r="84" spans="6:18" x14ac:dyDescent="0.3">
      <c r="H84" s="286"/>
      <c r="I84" s="383"/>
      <c r="J84" s="285"/>
      <c r="K84" s="285"/>
      <c r="L84" s="285"/>
      <c r="M84" s="446"/>
      <c r="N84" s="496"/>
      <c r="O84" s="451">
        <f>IF(ISBLANK(CkReg2022[[#This Row],[Withdrawal]]),O83+CkReg2022[[#This Row],[Deposit]],O83-CkReg2022[[#This Row],[Withdrawal]])</f>
        <v>13364.79</v>
      </c>
      <c r="P84" s="504"/>
      <c r="Q84" s="451">
        <f>IF(ISBLANK(CkReg2022[[#This Row],[Withdrawal]]),Q83+CkReg2022[[#This Row],[Deposit]],Q83-CkReg2022[[#This Row],[Withdrawal]])</f>
        <v>13364.79</v>
      </c>
      <c r="R84" s="376">
        <v>1</v>
      </c>
    </row>
    <row r="85" spans="6:18" x14ac:dyDescent="0.3">
      <c r="H85" s="286"/>
      <c r="I85" s="383"/>
      <c r="J85" s="285"/>
      <c r="K85" s="285"/>
      <c r="L85" s="285"/>
      <c r="M85" s="446"/>
      <c r="N85" s="497"/>
      <c r="O85" s="451">
        <f>IF(ISBLANK(CkReg2022[[#This Row],[Withdrawal]]),O84+CkReg2022[[#This Row],[Deposit]],O84-CkReg2022[[#This Row],[Withdrawal]])</f>
        <v>13364.79</v>
      </c>
      <c r="P85" s="504"/>
      <c r="Q85" s="451">
        <f>IF(ISBLANK(CkReg2022[[#This Row],[Withdrawal]]),Q84+CkReg2022[[#This Row],[Deposit]],Q84-CkReg2022[[#This Row],[Withdrawal]])</f>
        <v>13364.79</v>
      </c>
      <c r="R85" s="376">
        <v>1</v>
      </c>
    </row>
    <row r="86" spans="6:18" x14ac:dyDescent="0.3">
      <c r="H86" s="286"/>
      <c r="I86" s="383"/>
      <c r="J86" s="285"/>
      <c r="K86" s="285"/>
      <c r="L86" s="285"/>
      <c r="M86" s="446"/>
      <c r="N86" s="496"/>
      <c r="O86" s="451">
        <f>IF(ISBLANK(CkReg2022[[#This Row],[Withdrawal]]),O85+CkReg2022[[#This Row],[Deposit]],O85-CkReg2022[[#This Row],[Withdrawal]])</f>
        <v>13364.79</v>
      </c>
      <c r="P86" s="504"/>
      <c r="Q86" s="451">
        <f>IF(ISBLANK(CkReg2022[[#This Row],[Withdrawal]]),Q85+CkReg2022[[#This Row],[Deposit]],Q85-CkReg2022[[#This Row],[Withdrawal]])</f>
        <v>13364.79</v>
      </c>
      <c r="R86" s="376">
        <v>1</v>
      </c>
    </row>
    <row r="87" spans="6:18" x14ac:dyDescent="0.3">
      <c r="H87" s="286"/>
      <c r="I87" s="383"/>
      <c r="J87" s="285"/>
      <c r="K87" s="285"/>
      <c r="L87" s="285"/>
      <c r="M87" s="446"/>
      <c r="N87" s="497"/>
      <c r="O87" s="451">
        <f>IF(ISBLANK(CkReg2022[[#This Row],[Withdrawal]]),O86+CkReg2022[[#This Row],[Deposit]],O86-CkReg2022[[#This Row],[Withdrawal]])</f>
        <v>13364.79</v>
      </c>
      <c r="P87" s="504"/>
      <c r="Q87" s="451">
        <f>IF(ISBLANK(CkReg2022[[#This Row],[Withdrawal]]),Q86+CkReg2022[[#This Row],[Deposit]],Q86-CkReg2022[[#This Row],[Withdrawal]])</f>
        <v>13364.79</v>
      </c>
      <c r="R87" s="376">
        <v>1</v>
      </c>
    </row>
    <row r="88" spans="6:18" x14ac:dyDescent="0.3">
      <c r="H88" s="286"/>
      <c r="I88" s="383"/>
      <c r="J88" s="285"/>
      <c r="K88" s="285"/>
      <c r="L88" s="285"/>
      <c r="M88" s="446"/>
      <c r="N88" s="496"/>
      <c r="O88" s="451">
        <f>IF(ISBLANK(CkReg2022[[#This Row],[Withdrawal]]),O87+CkReg2022[[#This Row],[Deposit]],O87-CkReg2022[[#This Row],[Withdrawal]])</f>
        <v>13364.79</v>
      </c>
      <c r="P88" s="504"/>
      <c r="Q88" s="451">
        <f>IF(ISBLANK(CkReg2022[[#This Row],[Withdrawal]]),Q87+CkReg2022[[#This Row],[Deposit]],Q87-CkReg2022[[#This Row],[Withdrawal]])</f>
        <v>13364.79</v>
      </c>
      <c r="R88" s="376">
        <v>1</v>
      </c>
    </row>
    <row r="89" spans="6:18" x14ac:dyDescent="0.3">
      <c r="H89" s="286"/>
      <c r="I89" s="383"/>
      <c r="J89" s="285"/>
      <c r="K89" s="285"/>
      <c r="L89" s="285"/>
      <c r="M89" s="446"/>
      <c r="N89" s="498"/>
      <c r="O89" s="451">
        <f>IF(ISBLANK(CkReg2022[[#This Row],[Withdrawal]]),O88+CkReg2022[[#This Row],[Deposit]],O88-CkReg2022[[#This Row],[Withdrawal]])</f>
        <v>13364.79</v>
      </c>
      <c r="P89" s="504"/>
      <c r="Q89" s="451">
        <f>IF(ISBLANK(CkReg2022[[#This Row],[Withdrawal]]),Q88+CkReg2022[[#This Row],[Deposit]],Q88-CkReg2022[[#This Row],[Withdrawal]])</f>
        <v>13364.79</v>
      </c>
      <c r="R89" s="376">
        <v>1</v>
      </c>
    </row>
    <row r="90" spans="6:18" x14ac:dyDescent="0.3">
      <c r="H90" s="286"/>
      <c r="I90" s="383"/>
      <c r="J90" s="285"/>
      <c r="K90" s="285"/>
      <c r="L90" s="285"/>
      <c r="M90" s="446"/>
      <c r="N90" s="496"/>
      <c r="O90" s="451">
        <f>IF(ISBLANK(CkReg2022[[#This Row],[Withdrawal]]),O89+CkReg2022[[#This Row],[Deposit]],O89-CkReg2022[[#This Row],[Withdrawal]])</f>
        <v>13364.79</v>
      </c>
      <c r="P90" s="504"/>
      <c r="Q90" s="451">
        <f>IF(ISBLANK(CkReg2022[[#This Row],[Withdrawal]]),Q89+CkReg2022[[#This Row],[Deposit]],Q89-CkReg2022[[#This Row],[Withdrawal]])</f>
        <v>13364.79</v>
      </c>
      <c r="R90" s="376">
        <v>1</v>
      </c>
    </row>
    <row r="91" spans="6:18" x14ac:dyDescent="0.3">
      <c r="H91" s="286"/>
      <c r="I91" s="383"/>
      <c r="J91" s="285"/>
      <c r="K91" s="285"/>
      <c r="L91" s="285"/>
      <c r="M91" s="446"/>
      <c r="N91" s="498"/>
      <c r="O91" s="451">
        <f>IF(ISBLANK(CkReg2022[[#This Row],[Withdrawal]]),O90+CkReg2022[[#This Row],[Deposit]],O90-CkReg2022[[#This Row],[Withdrawal]])</f>
        <v>13364.79</v>
      </c>
      <c r="P91" s="504"/>
      <c r="Q91" s="451">
        <f>IF(ISBLANK(CkReg2022[[#This Row],[Withdrawal]]),Q90+CkReg2022[[#This Row],[Deposit]],Q90-CkReg2022[[#This Row],[Withdrawal]])</f>
        <v>13364.79</v>
      </c>
      <c r="R91" s="376">
        <v>1</v>
      </c>
    </row>
    <row r="92" spans="6:18" x14ac:dyDescent="0.3">
      <c r="H92" s="286"/>
      <c r="I92" s="383"/>
      <c r="J92" s="285"/>
      <c r="K92" s="285"/>
      <c r="L92" s="285"/>
      <c r="M92" s="446"/>
      <c r="N92" s="497"/>
      <c r="O92" s="451">
        <f>IF(ISBLANK(CkReg2022[[#This Row],[Withdrawal]]),O91+CkReg2022[[#This Row],[Deposit]],O91-CkReg2022[[#This Row],[Withdrawal]])</f>
        <v>13364.79</v>
      </c>
      <c r="P92" s="504"/>
      <c r="Q92" s="451">
        <f>IF(ISBLANK(CkReg2022[[#This Row],[Withdrawal]]),Q91+CkReg2022[[#This Row],[Deposit]],Q91-CkReg2022[[#This Row],[Withdrawal]])</f>
        <v>13364.79</v>
      </c>
      <c r="R92" s="376">
        <v>1</v>
      </c>
    </row>
    <row r="93" spans="6:18" x14ac:dyDescent="0.3">
      <c r="H93" s="286"/>
      <c r="I93" s="383"/>
      <c r="J93" s="285"/>
      <c r="K93" s="285"/>
      <c r="L93" s="285"/>
      <c r="M93" s="446"/>
      <c r="N93" s="497"/>
      <c r="O93" s="451">
        <f>IF(ISBLANK(CkReg2022[[#This Row],[Withdrawal]]),O92+CkReg2022[[#This Row],[Deposit]],O92-CkReg2022[[#This Row],[Withdrawal]])</f>
        <v>13364.79</v>
      </c>
      <c r="P93" s="504"/>
      <c r="Q93" s="451">
        <f>IF(ISBLANK(CkReg2022[[#This Row],[Withdrawal]]),Q92+CkReg2022[[#This Row],[Deposit]],Q92-CkReg2022[[#This Row],[Withdrawal]])</f>
        <v>13364.79</v>
      </c>
      <c r="R93" s="376">
        <v>1</v>
      </c>
    </row>
    <row r="94" spans="6:18" x14ac:dyDescent="0.3">
      <c r="H94" s="505"/>
      <c r="I94" s="383"/>
      <c r="J94" s="285"/>
      <c r="K94" s="285"/>
      <c r="L94" s="285"/>
      <c r="M94" s="446"/>
      <c r="N94" s="508"/>
      <c r="O94" s="451">
        <f>IF(ISBLANK(CkReg2022[[#This Row],[Withdrawal]]),O93+CkReg2022[[#This Row],[Deposit]],O93-CkReg2022[[#This Row],[Withdrawal]])</f>
        <v>13364.79</v>
      </c>
      <c r="P94" s="504"/>
      <c r="Q94" s="451">
        <f>IF(ISBLANK(CkReg2022[[#This Row],[Withdrawal]]),Q93+CkReg2022[[#This Row],[Deposit]],Q93-CkReg2022[[#This Row],[Withdrawal]])</f>
        <v>13364.79</v>
      </c>
      <c r="R94" s="376">
        <v>1</v>
      </c>
    </row>
    <row r="95" spans="6:18" x14ac:dyDescent="0.3">
      <c r="H95" s="286"/>
      <c r="I95" s="383"/>
      <c r="J95" s="285"/>
      <c r="K95" s="285"/>
      <c r="L95" s="285"/>
      <c r="M95" s="446"/>
      <c r="N95" s="496"/>
      <c r="O95" s="451">
        <f>IF(ISBLANK(CkReg2022[[#This Row],[Withdrawal]]),O94+CkReg2022[[#This Row],[Deposit]],O94-CkReg2022[[#This Row],[Withdrawal]])</f>
        <v>13364.79</v>
      </c>
      <c r="P95" s="504"/>
      <c r="Q95" s="451">
        <f>IF(ISBLANK(CkReg2022[[#This Row],[Withdrawal]]),Q94+CkReg2022[[#This Row],[Deposit]],Q94-CkReg2022[[#This Row],[Withdrawal]])</f>
        <v>13364.79</v>
      </c>
      <c r="R95" s="376">
        <v>1</v>
      </c>
    </row>
    <row r="96" spans="6:18" x14ac:dyDescent="0.3">
      <c r="F96" s="96" t="s">
        <v>1020</v>
      </c>
      <c r="H96" s="286"/>
      <c r="I96" s="383"/>
      <c r="J96" s="285"/>
      <c r="K96" s="285"/>
      <c r="L96" s="285"/>
      <c r="M96" s="446"/>
      <c r="N96" s="496"/>
      <c r="O96" s="451">
        <f>IF(ISBLANK(CkReg2022[[#This Row],[Withdrawal]]),O95+CkReg2022[[#This Row],[Deposit]],O95-CkReg2022[[#This Row],[Withdrawal]])</f>
        <v>13364.79</v>
      </c>
      <c r="P96" s="504"/>
      <c r="Q96" s="451">
        <f>IF(ISBLANK(CkReg2022[[#This Row],[Withdrawal]]),Q95+CkReg2022[[#This Row],[Deposit]],Q95-CkReg2022[[#This Row],[Withdrawal]])</f>
        <v>13364.79</v>
      </c>
      <c r="R96" s="376">
        <v>1</v>
      </c>
    </row>
    <row r="97" spans="4:18" x14ac:dyDescent="0.3">
      <c r="H97" s="505"/>
      <c r="I97" s="383"/>
      <c r="J97" s="285"/>
      <c r="K97" s="285"/>
      <c r="L97" s="285"/>
      <c r="M97" s="446"/>
      <c r="N97" s="506"/>
      <c r="O97" s="451">
        <f>IF(ISBLANK(CkReg2022[[#This Row],[Withdrawal]]),O96+CkReg2022[[#This Row],[Deposit]],O96-CkReg2022[[#This Row],[Withdrawal]])</f>
        <v>13364.79</v>
      </c>
      <c r="P97" s="504"/>
      <c r="Q97" s="451">
        <f>IF(ISBLANK(CkReg2022[[#This Row],[Withdrawal]]),Q96+CkReg2022[[#This Row],[Deposit]],Q96-CkReg2022[[#This Row],[Withdrawal]])</f>
        <v>13364.79</v>
      </c>
      <c r="R97" s="376">
        <v>1</v>
      </c>
    </row>
    <row r="98" spans="4:18" x14ac:dyDescent="0.3">
      <c r="H98" s="286"/>
      <c r="I98" s="383"/>
      <c r="J98" s="285"/>
      <c r="K98" s="285"/>
      <c r="L98" s="285"/>
      <c r="M98" s="446"/>
      <c r="N98" s="496"/>
      <c r="O98" s="451">
        <f>IF(ISBLANK(CkReg2022[[#This Row],[Withdrawal]]),O97+CkReg2022[[#This Row],[Deposit]],O97-CkReg2022[[#This Row],[Withdrawal]])</f>
        <v>13364.79</v>
      </c>
      <c r="P98" s="504"/>
      <c r="Q98" s="451">
        <f>IF(ISBLANK(CkReg2022[[#This Row],[Withdrawal]]),Q97+CkReg2022[[#This Row],[Deposit]],Q97-CkReg2022[[#This Row],[Withdrawal]])</f>
        <v>13364.79</v>
      </c>
      <c r="R98" s="376">
        <v>1</v>
      </c>
    </row>
    <row r="99" spans="4:18" x14ac:dyDescent="0.3">
      <c r="D99" s="99"/>
      <c r="H99" s="286"/>
      <c r="I99" s="383"/>
      <c r="J99" s="285"/>
      <c r="K99" s="285"/>
      <c r="L99" s="285"/>
      <c r="M99" s="446"/>
      <c r="N99" s="496"/>
      <c r="O99" s="451">
        <f>IF(ISBLANK(CkReg2022[[#This Row],[Withdrawal]]),O98+CkReg2022[[#This Row],[Deposit]],O98-CkReg2022[[#This Row],[Withdrawal]])</f>
        <v>13364.79</v>
      </c>
      <c r="P99" s="504"/>
      <c r="Q99" s="451">
        <f>IF(ISBLANK(CkReg2022[[#This Row],[Withdrawal]]),Q98+CkReg2022[[#This Row],[Deposit]],Q98-CkReg2022[[#This Row],[Withdrawal]])</f>
        <v>13364.79</v>
      </c>
      <c r="R99" s="376">
        <v>1</v>
      </c>
    </row>
    <row r="100" spans="4:18" x14ac:dyDescent="0.3">
      <c r="D100" s="99"/>
      <c r="H100" s="286"/>
      <c r="I100" s="383"/>
      <c r="J100" s="285"/>
      <c r="K100" s="285"/>
      <c r="L100" s="285"/>
      <c r="M100" s="446"/>
      <c r="N100" s="496"/>
      <c r="O100" s="451">
        <f>IF(ISBLANK(CkReg2022[[#This Row],[Withdrawal]]),O99+CkReg2022[[#This Row],[Deposit]],O99-CkReg2022[[#This Row],[Withdrawal]])</f>
        <v>13364.79</v>
      </c>
      <c r="P100" s="504"/>
      <c r="Q100" s="451">
        <f>IF(ISBLANK(CkReg2022[[#This Row],[Withdrawal]]),Q99+CkReg2022[[#This Row],[Deposit]],Q99-CkReg2022[[#This Row],[Withdrawal]])</f>
        <v>13364.79</v>
      </c>
      <c r="R100" s="376">
        <v>1</v>
      </c>
    </row>
    <row r="101" spans="4:18" x14ac:dyDescent="0.3">
      <c r="D101" s="99"/>
      <c r="H101" s="286"/>
      <c r="I101" s="383"/>
      <c r="J101" s="285"/>
      <c r="K101" s="285"/>
      <c r="L101" s="285"/>
      <c r="M101" s="446"/>
      <c r="N101" s="496"/>
      <c r="O101" s="451">
        <f>IF(ISBLANK(CkReg2022[[#This Row],[Withdrawal]]),O100+CkReg2022[[#This Row],[Deposit]],O100-CkReg2022[[#This Row],[Withdrawal]])</f>
        <v>13364.79</v>
      </c>
      <c r="P101" s="504"/>
      <c r="Q101" s="451">
        <f>IF(ISBLANK(CkReg2022[[#This Row],[Withdrawal]]),Q100+CkReg2022[[#This Row],[Deposit]],Q100-CkReg2022[[#This Row],[Withdrawal]])</f>
        <v>13364.79</v>
      </c>
      <c r="R101" s="376">
        <v>1</v>
      </c>
    </row>
    <row r="102" spans="4:18" x14ac:dyDescent="0.3">
      <c r="D102" s="99"/>
      <c r="H102" s="286"/>
      <c r="I102" s="383"/>
      <c r="J102" s="285"/>
      <c r="K102" s="285"/>
      <c r="L102" s="285"/>
      <c r="M102" s="446"/>
      <c r="N102" s="496"/>
      <c r="O102" s="451">
        <f>IF(ISBLANK(CkReg2022[[#This Row],[Withdrawal]]),O101+CkReg2022[[#This Row],[Deposit]],O101-CkReg2022[[#This Row],[Withdrawal]])</f>
        <v>13364.79</v>
      </c>
      <c r="P102" s="504"/>
      <c r="Q102" s="451">
        <f>IF(ISBLANK(CkReg2022[[#This Row],[Withdrawal]]),Q101+CkReg2022[[#This Row],[Deposit]],Q101-CkReg2022[[#This Row],[Withdrawal]])</f>
        <v>13364.79</v>
      </c>
      <c r="R102" s="376">
        <v>1</v>
      </c>
    </row>
    <row r="103" spans="4:18" x14ac:dyDescent="0.3">
      <c r="H103" s="286"/>
      <c r="I103" s="383"/>
      <c r="J103" s="285"/>
      <c r="K103" s="285"/>
      <c r="L103" s="285"/>
      <c r="M103" s="446"/>
      <c r="N103" s="496"/>
      <c r="O103" s="451">
        <f>IF(ISBLANK(CkReg2022[[#This Row],[Withdrawal]]),O102+CkReg2022[[#This Row],[Deposit]],O102-CkReg2022[[#This Row],[Withdrawal]])</f>
        <v>13364.79</v>
      </c>
      <c r="P103" s="504"/>
      <c r="Q103" s="451">
        <f>IF(ISBLANK(CkReg2022[[#This Row],[Withdrawal]]),Q102+CkReg2022[[#This Row],[Deposit]],Q102-CkReg2022[[#This Row],[Withdrawal]])</f>
        <v>13364.79</v>
      </c>
      <c r="R103" s="376">
        <v>1</v>
      </c>
    </row>
    <row r="104" spans="4:18" x14ac:dyDescent="0.3">
      <c r="H104" s="286"/>
      <c r="I104" s="383"/>
      <c r="J104" s="285"/>
      <c r="K104" s="285"/>
      <c r="L104" s="285"/>
      <c r="M104" s="446"/>
      <c r="N104" s="496"/>
      <c r="O104" s="451">
        <f>IF(ISBLANK(CkReg2022[[#This Row],[Withdrawal]]),O103+CkReg2022[[#This Row],[Deposit]],O103-CkReg2022[[#This Row],[Withdrawal]])</f>
        <v>13364.79</v>
      </c>
      <c r="P104" s="504"/>
      <c r="Q104" s="451">
        <f>IF(ISBLANK(CkReg2022[[#This Row],[Withdrawal]]),Q103+CkReg2022[[#This Row],[Deposit]],Q103-CkReg2022[[#This Row],[Withdrawal]])</f>
        <v>13364.79</v>
      </c>
      <c r="R104" s="376">
        <v>1</v>
      </c>
    </row>
    <row r="105" spans="4:18" x14ac:dyDescent="0.3">
      <c r="H105" s="286"/>
      <c r="I105" s="383"/>
      <c r="J105" s="285"/>
      <c r="K105" s="285"/>
      <c r="L105" s="285"/>
      <c r="M105" s="446"/>
      <c r="N105" s="496"/>
      <c r="O105" s="451">
        <f>IF(ISBLANK(CkReg2022[[#This Row],[Withdrawal]]),O104+CkReg2022[[#This Row],[Deposit]],O104-CkReg2022[[#This Row],[Withdrawal]])</f>
        <v>13364.79</v>
      </c>
      <c r="P105" s="504"/>
      <c r="Q105" s="451">
        <f>IF(ISBLANK(CkReg2022[[#This Row],[Withdrawal]]),Q104+CkReg2022[[#This Row],[Deposit]],Q104-CkReg2022[[#This Row],[Withdrawal]])</f>
        <v>13364.79</v>
      </c>
      <c r="R105" s="376">
        <v>1</v>
      </c>
    </row>
    <row r="106" spans="4:18" x14ac:dyDescent="0.3">
      <c r="H106" s="286"/>
      <c r="I106" s="383"/>
      <c r="J106" s="285"/>
      <c r="K106" s="285"/>
      <c r="L106" s="285"/>
      <c r="M106" s="446"/>
      <c r="N106" s="496"/>
      <c r="O106" s="451">
        <f>IF(ISBLANK(CkReg2022[[#This Row],[Withdrawal]]),O105+CkReg2022[[#This Row],[Deposit]],O105-CkReg2022[[#This Row],[Withdrawal]])</f>
        <v>13364.79</v>
      </c>
      <c r="P106" s="504"/>
      <c r="Q106" s="451">
        <f>IF(ISBLANK(CkReg2022[[#This Row],[Withdrawal]]),Q105+CkReg2022[[#This Row],[Deposit]],Q105-CkReg2022[[#This Row],[Withdrawal]])</f>
        <v>13364.79</v>
      </c>
      <c r="R106" s="376">
        <v>1</v>
      </c>
    </row>
    <row r="107" spans="4:18" x14ac:dyDescent="0.3">
      <c r="H107" s="286"/>
      <c r="I107" s="383"/>
      <c r="J107" s="285"/>
      <c r="K107" s="285"/>
      <c r="L107" s="285"/>
      <c r="M107" s="446"/>
      <c r="N107" s="496"/>
      <c r="O107" s="451">
        <f>IF(ISBLANK(CkReg2022[[#This Row],[Withdrawal]]),O106+CkReg2022[[#This Row],[Deposit]],O106-CkReg2022[[#This Row],[Withdrawal]])</f>
        <v>13364.79</v>
      </c>
      <c r="P107" s="504"/>
      <c r="Q107" s="451">
        <f>IF(ISBLANK(CkReg2022[[#This Row],[Withdrawal]]),Q106+CkReg2022[[#This Row],[Deposit]],Q106-CkReg2022[[#This Row],[Withdrawal]])</f>
        <v>13364.79</v>
      </c>
      <c r="R107" s="376">
        <v>1</v>
      </c>
    </row>
    <row r="108" spans="4:18" x14ac:dyDescent="0.3">
      <c r="H108" s="286"/>
      <c r="I108" s="383"/>
      <c r="J108" s="285"/>
      <c r="K108" s="285"/>
      <c r="L108" s="285"/>
      <c r="M108" s="446"/>
      <c r="N108" s="496"/>
      <c r="O108" s="451">
        <f>IF(ISBLANK(CkReg2022[[#This Row],[Withdrawal]]),O107+CkReg2022[[#This Row],[Deposit]],O107-CkReg2022[[#This Row],[Withdrawal]])</f>
        <v>13364.79</v>
      </c>
      <c r="P108" s="504"/>
      <c r="Q108" s="451">
        <f>IF(ISBLANK(CkReg2022[[#This Row],[Withdrawal]]),Q107+CkReg2022[[#This Row],[Deposit]],Q107-CkReg2022[[#This Row],[Withdrawal]])</f>
        <v>13364.79</v>
      </c>
      <c r="R108" s="376">
        <v>1</v>
      </c>
    </row>
    <row r="109" spans="4:18" x14ac:dyDescent="0.3">
      <c r="H109" s="286"/>
      <c r="I109" s="383"/>
      <c r="J109" s="285"/>
      <c r="K109" s="285"/>
      <c r="L109" s="285"/>
      <c r="M109" s="446"/>
      <c r="N109" s="496"/>
      <c r="O109" s="451">
        <f>IF(ISBLANK(CkReg2022[[#This Row],[Withdrawal]]),O108+CkReg2022[[#This Row],[Deposit]],O108-CkReg2022[[#This Row],[Withdrawal]])</f>
        <v>13364.79</v>
      </c>
      <c r="P109" s="504"/>
      <c r="Q109" s="451">
        <f>IF(ISBLANK(CkReg2022[[#This Row],[Withdrawal]]),Q108+CkReg2022[[#This Row],[Deposit]],Q108-CkReg2022[[#This Row],[Withdrawal]])</f>
        <v>13364.79</v>
      </c>
      <c r="R109" s="376">
        <v>1</v>
      </c>
    </row>
    <row r="110" spans="4:18" x14ac:dyDescent="0.3">
      <c r="H110" s="286"/>
      <c r="I110" s="383"/>
      <c r="J110" s="285"/>
      <c r="K110" s="285"/>
      <c r="L110" s="285"/>
      <c r="M110" s="446"/>
      <c r="N110" s="496"/>
      <c r="O110" s="451">
        <f>IF(ISBLANK(CkReg2022[[#This Row],[Withdrawal]]),O109+CkReg2022[[#This Row],[Deposit]],O109-CkReg2022[[#This Row],[Withdrawal]])</f>
        <v>13364.79</v>
      </c>
      <c r="P110" s="504"/>
      <c r="Q110" s="451">
        <f>IF(ISBLANK(CkReg2022[[#This Row],[Withdrawal]]),Q109+CkReg2022[[#This Row],[Deposit]],Q109-CkReg2022[[#This Row],[Withdrawal]])</f>
        <v>13364.79</v>
      </c>
      <c r="R110" s="376">
        <v>1</v>
      </c>
    </row>
    <row r="111" spans="4:18" x14ac:dyDescent="0.3">
      <c r="H111" s="285"/>
      <c r="I111" s="383"/>
      <c r="J111" s="285"/>
      <c r="K111" s="285"/>
      <c r="L111" s="285"/>
      <c r="M111" s="446"/>
      <c r="N111" s="496"/>
      <c r="O111" s="451">
        <f>IF(ISBLANK(CkReg2022[[#This Row],[Withdrawal]]),O110+CkReg2022[[#This Row],[Deposit]],O110-CkReg2022[[#This Row],[Withdrawal]])</f>
        <v>13364.79</v>
      </c>
      <c r="P111" s="504"/>
      <c r="Q111" s="451">
        <f>IF(ISBLANK(CkReg2022[[#This Row],[Withdrawal]]),Q110+CkReg2022[[#This Row],[Deposit]],Q110-CkReg2022[[#This Row],[Withdrawal]])</f>
        <v>13364.79</v>
      </c>
      <c r="R111" s="376">
        <v>1</v>
      </c>
    </row>
    <row r="112" spans="4:18" x14ac:dyDescent="0.3">
      <c r="H112" s="505"/>
      <c r="I112" s="383"/>
      <c r="J112" s="285"/>
      <c r="K112" s="285"/>
      <c r="L112" s="285"/>
      <c r="M112" s="446"/>
      <c r="N112" s="496"/>
      <c r="O112" s="451">
        <f>IF(ISBLANK(CkReg2022[[#This Row],[Withdrawal]]),O111+CkReg2022[[#This Row],[Deposit]],O111-CkReg2022[[#This Row],[Withdrawal]])</f>
        <v>13364.79</v>
      </c>
      <c r="P112" s="504"/>
      <c r="Q112" s="451">
        <f>IF(ISBLANK(CkReg2022[[#This Row],[Withdrawal]]),Q111+CkReg2022[[#This Row],[Deposit]],Q111-CkReg2022[[#This Row],[Withdrawal]])</f>
        <v>13364.79</v>
      </c>
      <c r="R112" s="376">
        <v>1</v>
      </c>
    </row>
    <row r="113" spans="1:18" x14ac:dyDescent="0.3">
      <c r="H113" s="505"/>
      <c r="I113" s="383"/>
      <c r="J113" s="285"/>
      <c r="K113" s="285"/>
      <c r="L113" s="285"/>
      <c r="M113" s="446"/>
      <c r="N113" s="496"/>
      <c r="O113" s="451">
        <f>IF(ISBLANK(CkReg2022[[#This Row],[Withdrawal]]),O112+CkReg2022[[#This Row],[Deposit]],O112-CkReg2022[[#This Row],[Withdrawal]])</f>
        <v>13364.79</v>
      </c>
      <c r="P113" s="504"/>
      <c r="Q113" s="451">
        <f>IF(ISBLANK(CkReg2022[[#This Row],[Withdrawal]]),Q112+CkReg2022[[#This Row],[Deposit]],Q112-CkReg2022[[#This Row],[Withdrawal]])</f>
        <v>13364.79</v>
      </c>
      <c r="R113" s="376">
        <v>1</v>
      </c>
    </row>
    <row r="114" spans="1:18" x14ac:dyDescent="0.3">
      <c r="F114" s="96" t="s">
        <v>1020</v>
      </c>
      <c r="H114" s="286"/>
      <c r="I114" s="383"/>
      <c r="J114" s="285"/>
      <c r="K114" s="285"/>
      <c r="L114" s="285"/>
      <c r="M114" s="446"/>
      <c r="N114" s="496"/>
      <c r="O114" s="451">
        <f>IF(ISBLANK(CkReg2022[[#This Row],[Withdrawal]]),O113+CkReg2022[[#This Row],[Deposit]],O113-CkReg2022[[#This Row],[Withdrawal]])</f>
        <v>13364.79</v>
      </c>
      <c r="P114" s="504"/>
      <c r="Q114" s="451">
        <f>IF(ISBLANK(CkReg2022[[#This Row],[Withdrawal]]),Q113+CkReg2022[[#This Row],[Deposit]],Q113-CkReg2022[[#This Row],[Withdrawal]])</f>
        <v>13364.79</v>
      </c>
      <c r="R114" s="376">
        <v>1</v>
      </c>
    </row>
    <row r="115" spans="1:18" x14ac:dyDescent="0.3">
      <c r="H115" s="286"/>
      <c r="I115" s="383"/>
      <c r="J115" s="285"/>
      <c r="K115" s="285"/>
      <c r="L115" s="285"/>
      <c r="M115" s="446"/>
      <c r="N115" s="496"/>
      <c r="O115" s="451">
        <f>IF(ISBLANK(CkReg2022[[#This Row],[Withdrawal]]),O114+CkReg2022[[#This Row],[Deposit]],O114-CkReg2022[[#This Row],[Withdrawal]])</f>
        <v>13364.79</v>
      </c>
      <c r="P115" s="504"/>
      <c r="Q115" s="451">
        <f>IF(ISBLANK(CkReg2022[[#This Row],[Withdrawal]]),Q114+CkReg2022[[#This Row],[Deposit]],Q114-CkReg2022[[#This Row],[Withdrawal]])</f>
        <v>13364.79</v>
      </c>
      <c r="R115" s="376">
        <v>1</v>
      </c>
    </row>
    <row r="116" spans="1:18" x14ac:dyDescent="0.3">
      <c r="H116" s="286"/>
      <c r="I116" s="383"/>
      <c r="J116" s="285"/>
      <c r="K116" s="285"/>
      <c r="L116" s="285"/>
      <c r="M116" s="446"/>
      <c r="N116" s="496"/>
      <c r="O116" s="451">
        <f>IF(ISBLANK(CkReg2022[[#This Row],[Withdrawal]]),O115+CkReg2022[[#This Row],[Deposit]],O115-CkReg2022[[#This Row],[Withdrawal]])</f>
        <v>13364.79</v>
      </c>
      <c r="P116" s="504"/>
      <c r="Q116" s="451">
        <f>IF(ISBLANK(CkReg2022[[#This Row],[Withdrawal]]),Q115+CkReg2022[[#This Row],[Deposit]],Q115-CkReg2022[[#This Row],[Withdrawal]])</f>
        <v>13364.79</v>
      </c>
      <c r="R116" s="376">
        <v>1</v>
      </c>
    </row>
    <row r="117" spans="1:18" s="430" customFormat="1" x14ac:dyDescent="0.3">
      <c r="A117" s="96"/>
      <c r="B117" s="96"/>
      <c r="C117" s="96"/>
      <c r="D117" s="96"/>
      <c r="E117" s="96"/>
      <c r="F117" s="96"/>
      <c r="G117" s="96"/>
      <c r="H117" s="286"/>
      <c r="I117" s="383"/>
      <c r="J117" s="285"/>
      <c r="K117" s="285"/>
      <c r="L117" s="285"/>
      <c r="M117" s="446"/>
      <c r="N117" s="496"/>
      <c r="O117" s="451">
        <f>IF(ISBLANK(CkReg2022[[#This Row],[Withdrawal]]),O116+CkReg2022[[#This Row],[Deposit]],O116-CkReg2022[[#This Row],[Withdrawal]])</f>
        <v>13364.79</v>
      </c>
      <c r="P117" s="504"/>
      <c r="Q117" s="451">
        <f>IF(ISBLANK(CkReg2022[[#This Row],[Withdrawal]]),Q116+CkReg2022[[#This Row],[Deposit]],Q116-CkReg2022[[#This Row],[Withdrawal]])</f>
        <v>13364.79</v>
      </c>
      <c r="R117" s="376">
        <v>1</v>
      </c>
    </row>
    <row r="118" spans="1:18" x14ac:dyDescent="0.3">
      <c r="A118" s="430"/>
      <c r="H118" s="286"/>
      <c r="I118" s="383"/>
      <c r="J118" s="285"/>
      <c r="K118" s="285"/>
      <c r="L118" s="285"/>
      <c r="M118" s="446"/>
      <c r="N118" s="496"/>
      <c r="O118" s="451">
        <f>IF(ISBLANK(CkReg2022[[#This Row],[Withdrawal]]),O117+CkReg2022[[#This Row],[Deposit]],O117-CkReg2022[[#This Row],[Withdrawal]])</f>
        <v>13364.79</v>
      </c>
      <c r="P118" s="504"/>
      <c r="Q118" s="451">
        <f>IF(ISBLANK(CkReg2022[[#This Row],[Withdrawal]]),Q117+CkReg2022[[#This Row],[Deposit]],Q117-CkReg2022[[#This Row],[Withdrawal]])</f>
        <v>13364.79</v>
      </c>
      <c r="R118" s="376">
        <v>1</v>
      </c>
    </row>
    <row r="119" spans="1:18" x14ac:dyDescent="0.3">
      <c r="H119" s="286"/>
      <c r="I119" s="383"/>
      <c r="J119" s="285"/>
      <c r="K119" s="285"/>
      <c r="L119" s="285"/>
      <c r="M119" s="446"/>
      <c r="N119" s="496"/>
      <c r="O119" s="451">
        <f>IF(ISBLANK(CkReg2022[[#This Row],[Withdrawal]]),O118+CkReg2022[[#This Row],[Deposit]],O118-CkReg2022[[#This Row],[Withdrawal]])</f>
        <v>13364.79</v>
      </c>
      <c r="P119" s="504"/>
      <c r="Q119" s="451">
        <f>IF(ISBLANK(CkReg2022[[#This Row],[Withdrawal]]),Q118+CkReg2022[[#This Row],[Deposit]],Q118-CkReg2022[[#This Row],[Withdrawal]])</f>
        <v>13364.79</v>
      </c>
      <c r="R119" s="376">
        <v>1</v>
      </c>
    </row>
    <row r="120" spans="1:18" x14ac:dyDescent="0.3">
      <c r="H120" s="286"/>
      <c r="I120" s="383"/>
      <c r="J120" s="285"/>
      <c r="K120" s="285"/>
      <c r="L120" s="285"/>
      <c r="M120" s="446"/>
      <c r="N120" s="496"/>
      <c r="O120" s="451">
        <f>IF(ISBLANK(CkReg2022[[#This Row],[Withdrawal]]),O119+CkReg2022[[#This Row],[Deposit]],O119-CkReg2022[[#This Row],[Withdrawal]])</f>
        <v>13364.79</v>
      </c>
      <c r="P120" s="504"/>
      <c r="Q120" s="451">
        <f>IF(ISBLANK(CkReg2022[[#This Row],[Withdrawal]]),Q119+CkReg2022[[#This Row],[Deposit]],Q119-CkReg2022[[#This Row],[Withdrawal]])</f>
        <v>13364.79</v>
      </c>
      <c r="R120" s="376">
        <v>1</v>
      </c>
    </row>
    <row r="121" spans="1:18" x14ac:dyDescent="0.3">
      <c r="H121" s="286"/>
      <c r="I121" s="383"/>
      <c r="J121" s="285"/>
      <c r="K121" s="285"/>
      <c r="L121" s="285"/>
      <c r="M121" s="446"/>
      <c r="N121" s="496"/>
      <c r="O121" s="451">
        <f>IF(ISBLANK(CkReg2022[[#This Row],[Withdrawal]]),O120+CkReg2022[[#This Row],[Deposit]],O120-CkReg2022[[#This Row],[Withdrawal]])</f>
        <v>13364.79</v>
      </c>
      <c r="P121" s="504"/>
      <c r="Q121" s="451">
        <f>IF(ISBLANK(CkReg2022[[#This Row],[Withdrawal]]),Q120+CkReg2022[[#This Row],[Deposit]],Q120-CkReg2022[[#This Row],[Withdrawal]])</f>
        <v>13364.79</v>
      </c>
      <c r="R121" s="376">
        <v>1</v>
      </c>
    </row>
    <row r="122" spans="1:18" x14ac:dyDescent="0.3">
      <c r="H122" s="286"/>
      <c r="I122" s="383"/>
      <c r="J122" s="285"/>
      <c r="K122" s="285"/>
      <c r="L122" s="285"/>
      <c r="M122" s="446"/>
      <c r="N122" s="496"/>
      <c r="O122" s="451">
        <f>IF(ISBLANK(CkReg2022[[#This Row],[Withdrawal]]),O121+CkReg2022[[#This Row],[Deposit]],O121-CkReg2022[[#This Row],[Withdrawal]])</f>
        <v>13364.79</v>
      </c>
      <c r="P122" s="504"/>
      <c r="Q122" s="451">
        <f>IF(ISBLANK(CkReg2022[[#This Row],[Withdrawal]]),Q121+CkReg2022[[#This Row],[Deposit]],Q121-CkReg2022[[#This Row],[Withdrawal]])</f>
        <v>13364.79</v>
      </c>
      <c r="R122" s="376">
        <v>1</v>
      </c>
    </row>
    <row r="123" spans="1:18" x14ac:dyDescent="0.3">
      <c r="H123" s="286"/>
      <c r="I123" s="383"/>
      <c r="J123" s="285"/>
      <c r="K123" s="285"/>
      <c r="L123" s="285"/>
      <c r="M123" s="446"/>
      <c r="N123" s="496"/>
      <c r="O123" s="451">
        <f>IF(ISBLANK(CkReg2022[[#This Row],[Withdrawal]]),O122+CkReg2022[[#This Row],[Deposit]],O122-CkReg2022[[#This Row],[Withdrawal]])</f>
        <v>13364.79</v>
      </c>
      <c r="P123" s="504"/>
      <c r="Q123" s="451">
        <f>IF(ISBLANK(CkReg2022[[#This Row],[Withdrawal]]),Q122+CkReg2022[[#This Row],[Deposit]],Q122-CkReg2022[[#This Row],[Withdrawal]])</f>
        <v>13364.79</v>
      </c>
      <c r="R123" s="376">
        <v>1</v>
      </c>
    </row>
    <row r="124" spans="1:18" x14ac:dyDescent="0.3">
      <c r="H124" s="286"/>
      <c r="I124" s="383"/>
      <c r="J124" s="285"/>
      <c r="K124" s="285"/>
      <c r="L124" s="285"/>
      <c r="M124" s="446"/>
      <c r="N124" s="496"/>
      <c r="O124" s="451">
        <f>IF(ISBLANK(CkReg2022[[#This Row],[Withdrawal]]),O123+CkReg2022[[#This Row],[Deposit]],O123-CkReg2022[[#This Row],[Withdrawal]])</f>
        <v>13364.79</v>
      </c>
      <c r="P124" s="504"/>
      <c r="Q124" s="451">
        <f>IF(ISBLANK(CkReg2022[[#This Row],[Withdrawal]]),Q123+CkReg2022[[#This Row],[Deposit]],Q123-CkReg2022[[#This Row],[Withdrawal]])</f>
        <v>13364.79</v>
      </c>
      <c r="R124" s="376">
        <v>1</v>
      </c>
    </row>
    <row r="125" spans="1:18" x14ac:dyDescent="0.3">
      <c r="H125" s="286"/>
      <c r="I125" s="383"/>
      <c r="J125" s="285"/>
      <c r="K125" s="285"/>
      <c r="L125" s="285"/>
      <c r="M125" s="446"/>
      <c r="N125" s="496"/>
      <c r="O125" s="451">
        <f>IF(ISBLANK(CkReg2022[[#This Row],[Withdrawal]]),O124+CkReg2022[[#This Row],[Deposit]],O124-CkReg2022[[#This Row],[Withdrawal]])</f>
        <v>13364.79</v>
      </c>
      <c r="P125" s="504"/>
      <c r="Q125" s="451">
        <f>IF(ISBLANK(CkReg2022[[#This Row],[Withdrawal]]),Q124+CkReg2022[[#This Row],[Deposit]],Q124-CkReg2022[[#This Row],[Withdrawal]])</f>
        <v>13364.79</v>
      </c>
      <c r="R125" s="376">
        <v>1</v>
      </c>
    </row>
    <row r="126" spans="1:18" x14ac:dyDescent="0.3">
      <c r="H126" s="285"/>
      <c r="I126" s="383"/>
      <c r="J126" s="285"/>
      <c r="K126" s="285"/>
      <c r="L126" s="285"/>
      <c r="M126" s="446"/>
      <c r="N126" s="496"/>
      <c r="O126" s="451">
        <f>IF(ISBLANK(CkReg2022[[#This Row],[Withdrawal]]),O125+CkReg2022[[#This Row],[Deposit]],O125-CkReg2022[[#This Row],[Withdrawal]])</f>
        <v>13364.79</v>
      </c>
      <c r="P126" s="504"/>
      <c r="Q126" s="451">
        <f>IF(ISBLANK(CkReg2022[[#This Row],[Withdrawal]]),Q125+CkReg2022[[#This Row],[Deposit]],Q125-CkReg2022[[#This Row],[Withdrawal]])</f>
        <v>13364.79</v>
      </c>
      <c r="R126" s="376">
        <v>1</v>
      </c>
    </row>
    <row r="127" spans="1:18" x14ac:dyDescent="0.3">
      <c r="H127" s="286"/>
      <c r="I127" s="383"/>
      <c r="J127" s="285"/>
      <c r="K127" s="285"/>
      <c r="L127" s="285"/>
      <c r="M127" s="446"/>
      <c r="N127" s="496"/>
      <c r="O127" s="451">
        <f>IF(ISBLANK(CkReg2022[[#This Row],[Withdrawal]]),O126+CkReg2022[[#This Row],[Deposit]],O126-CkReg2022[[#This Row],[Withdrawal]])</f>
        <v>13364.79</v>
      </c>
      <c r="P127" s="504"/>
      <c r="Q127" s="451">
        <f>IF(ISBLANK(CkReg2022[[#This Row],[Withdrawal]]),Q126+CkReg2022[[#This Row],[Deposit]],Q126-CkReg2022[[#This Row],[Withdrawal]])</f>
        <v>13364.79</v>
      </c>
      <c r="R127" s="376">
        <v>1</v>
      </c>
    </row>
    <row r="128" spans="1:18" x14ac:dyDescent="0.3">
      <c r="H128" s="285"/>
      <c r="I128" s="383"/>
      <c r="J128" s="285"/>
      <c r="K128" s="285"/>
      <c r="L128" s="285"/>
      <c r="M128" s="446"/>
      <c r="N128" s="496"/>
      <c r="O128" s="451">
        <f>IF(ISBLANK(CkReg2022[[#This Row],[Withdrawal]]),O127+CkReg2022[[#This Row],[Deposit]],O127-CkReg2022[[#This Row],[Withdrawal]])</f>
        <v>13364.79</v>
      </c>
      <c r="P128" s="504"/>
      <c r="Q128" s="451">
        <f>IF(ISBLANK(CkReg2022[[#This Row],[Withdrawal]]),Q127+CkReg2022[[#This Row],[Deposit]],Q127-CkReg2022[[#This Row],[Withdrawal]])</f>
        <v>13364.79</v>
      </c>
      <c r="R128" s="376">
        <v>1</v>
      </c>
    </row>
    <row r="129" spans="8:18" x14ac:dyDescent="0.3">
      <c r="H129" s="286"/>
      <c r="I129" s="383"/>
      <c r="J129" s="285"/>
      <c r="K129" s="285"/>
      <c r="L129" s="285"/>
      <c r="M129" s="446"/>
      <c r="N129" s="496"/>
      <c r="O129" s="451">
        <f>IF(ISBLANK(CkReg2022[[#This Row],[Withdrawal]]),O128+CkReg2022[[#This Row],[Deposit]],O128-CkReg2022[[#This Row],[Withdrawal]])</f>
        <v>13364.79</v>
      </c>
      <c r="P129" s="504"/>
      <c r="Q129" s="451">
        <f>IF(ISBLANK(CkReg2022[[#This Row],[Withdrawal]]),Q128+CkReg2022[[#This Row],[Deposit]],Q128-CkReg2022[[#This Row],[Withdrawal]])</f>
        <v>13364.79</v>
      </c>
      <c r="R129" s="376">
        <v>1</v>
      </c>
    </row>
    <row r="130" spans="8:18" x14ac:dyDescent="0.3">
      <c r="H130" s="285"/>
      <c r="I130" s="383"/>
      <c r="J130" s="285"/>
      <c r="K130" s="285"/>
      <c r="L130" s="285"/>
      <c r="M130" s="446"/>
      <c r="N130" s="496"/>
      <c r="O130" s="451">
        <f>IF(ISBLANK(CkReg2022[[#This Row],[Withdrawal]]),O129+CkReg2022[[#This Row],[Deposit]],O129-CkReg2022[[#This Row],[Withdrawal]])</f>
        <v>13364.79</v>
      </c>
      <c r="P130" s="504"/>
      <c r="Q130" s="451">
        <f>IF(ISBLANK(CkReg2022[[#This Row],[Withdrawal]]),Q129+CkReg2022[[#This Row],[Deposit]],Q129-CkReg2022[[#This Row],[Withdrawal]])</f>
        <v>13364.79</v>
      </c>
      <c r="R130" s="376">
        <v>1</v>
      </c>
    </row>
    <row r="131" spans="8:18" x14ac:dyDescent="0.3">
      <c r="H131" s="286"/>
      <c r="I131" s="383"/>
      <c r="J131" s="285"/>
      <c r="K131" s="285"/>
      <c r="L131" s="285"/>
      <c r="M131" s="446"/>
      <c r="N131" s="496"/>
      <c r="O131" s="451">
        <f>IF(ISBLANK(CkReg2022[[#This Row],[Withdrawal]]),O130+CkReg2022[[#This Row],[Deposit]],O130-CkReg2022[[#This Row],[Withdrawal]])</f>
        <v>13364.79</v>
      </c>
      <c r="P131" s="504"/>
      <c r="Q131" s="451">
        <f>IF(ISBLANK(CkReg2022[[#This Row],[Withdrawal]]),Q130+CkReg2022[[#This Row],[Deposit]],Q130-CkReg2022[[#This Row],[Withdrawal]])</f>
        <v>13364.79</v>
      </c>
      <c r="R131" s="376">
        <v>1</v>
      </c>
    </row>
    <row r="132" spans="8:18" x14ac:dyDescent="0.3">
      <c r="H132" s="286"/>
      <c r="I132" s="383"/>
      <c r="J132" s="285"/>
      <c r="K132" s="285"/>
      <c r="L132" s="285"/>
      <c r="M132" s="446"/>
      <c r="N132" s="496"/>
      <c r="O132" s="451">
        <f>IF(ISBLANK(CkReg2022[[#This Row],[Withdrawal]]),O131+CkReg2022[[#This Row],[Deposit]],O131-CkReg2022[[#This Row],[Withdrawal]])</f>
        <v>13364.79</v>
      </c>
      <c r="P132" s="504"/>
      <c r="Q132" s="451">
        <f>IF(ISBLANK(CkReg2022[[#This Row],[Withdrawal]]),Q131+CkReg2022[[#This Row],[Deposit]],Q131-CkReg2022[[#This Row],[Withdrawal]])</f>
        <v>13364.79</v>
      </c>
      <c r="R132" s="376">
        <v>1</v>
      </c>
    </row>
    <row r="133" spans="8:18" x14ac:dyDescent="0.3">
      <c r="H133" s="285"/>
      <c r="I133" s="383"/>
      <c r="J133" s="285"/>
      <c r="K133" s="285"/>
      <c r="L133" s="285"/>
      <c r="M133" s="446"/>
      <c r="N133" s="496"/>
      <c r="O133" s="451">
        <f>IF(ISBLANK(CkReg2022[[#This Row],[Withdrawal]]),O132+CkReg2022[[#This Row],[Deposit]],O132-CkReg2022[[#This Row],[Withdrawal]])</f>
        <v>13364.79</v>
      </c>
      <c r="P133" s="504"/>
      <c r="Q133" s="451">
        <f>IF(ISBLANK(CkReg2022[[#This Row],[Withdrawal]]),Q132+CkReg2022[[#This Row],[Deposit]],Q132-CkReg2022[[#This Row],[Withdrawal]])</f>
        <v>13364.79</v>
      </c>
      <c r="R133" s="376">
        <v>1</v>
      </c>
    </row>
    <row r="134" spans="8:18" x14ac:dyDescent="0.3">
      <c r="H134" s="286"/>
      <c r="I134" s="383"/>
      <c r="J134" s="285"/>
      <c r="K134" s="285"/>
      <c r="L134" s="285"/>
      <c r="M134" s="446"/>
      <c r="N134" s="496"/>
      <c r="O134" s="451">
        <f>IF(ISBLANK(CkReg2022[[#This Row],[Withdrawal]]),O133+CkReg2022[[#This Row],[Deposit]],O133-CkReg2022[[#This Row],[Withdrawal]])</f>
        <v>13364.79</v>
      </c>
      <c r="P134" s="504"/>
      <c r="Q134" s="451">
        <f>IF(ISBLANK(CkReg2022[[#This Row],[Withdrawal]]),Q133+CkReg2022[[#This Row],[Deposit]],Q133-CkReg2022[[#This Row],[Withdrawal]])</f>
        <v>13364.79</v>
      </c>
      <c r="R134" s="376">
        <v>1</v>
      </c>
    </row>
    <row r="135" spans="8:18" x14ac:dyDescent="0.3">
      <c r="H135" s="505"/>
      <c r="I135" s="507"/>
      <c r="J135" s="505"/>
      <c r="K135" s="505"/>
      <c r="L135" s="285"/>
      <c r="M135" s="446"/>
      <c r="N135" s="496"/>
      <c r="O135" s="451">
        <f>IF(ISBLANK(CkReg2022[[#This Row],[Withdrawal]]),O134+CkReg2022[[#This Row],[Deposit]],O134-CkReg2022[[#This Row],[Withdrawal]])</f>
        <v>13364.79</v>
      </c>
      <c r="P135" s="504"/>
      <c r="Q135" s="451">
        <f>IF(ISBLANK(CkReg2022[[#This Row],[Withdrawal]]),Q134+CkReg2022[[#This Row],[Deposit]],Q134-CkReg2022[[#This Row],[Withdrawal]])</f>
        <v>13364.79</v>
      </c>
      <c r="R135" s="376">
        <v>1</v>
      </c>
    </row>
    <row r="136" spans="8:18" x14ac:dyDescent="0.3">
      <c r="H136" s="505"/>
      <c r="I136" s="507"/>
      <c r="J136" s="505"/>
      <c r="K136" s="505"/>
      <c r="L136" s="505"/>
      <c r="M136" s="509"/>
      <c r="N136" s="506"/>
      <c r="O136" s="451">
        <f>IF(ISBLANK(CkReg2022[[#This Row],[Withdrawal]]),O135+CkReg2022[[#This Row],[Deposit]],O135-CkReg2022[[#This Row],[Withdrawal]])</f>
        <v>13364.79</v>
      </c>
      <c r="P136" s="504"/>
      <c r="Q136" s="451">
        <f>IF(ISBLANK(CkReg2022[[#This Row],[Withdrawal]]),Q135+CkReg2022[[#This Row],[Deposit]],Q135-CkReg2022[[#This Row],[Withdrawal]])</f>
        <v>13364.79</v>
      </c>
      <c r="R136" s="376">
        <v>1</v>
      </c>
    </row>
    <row r="137" spans="8:18" x14ac:dyDescent="0.3">
      <c r="H137" s="286"/>
      <c r="I137" s="383"/>
      <c r="J137" s="285"/>
      <c r="K137" s="285"/>
      <c r="L137" s="285"/>
      <c r="M137" s="446"/>
      <c r="N137" s="496"/>
      <c r="O137" s="451">
        <f>IF(ISBLANK(CkReg2022[[#This Row],[Withdrawal]]),O136+CkReg2022[[#This Row],[Deposit]],O136-CkReg2022[[#This Row],[Withdrawal]])</f>
        <v>13364.79</v>
      </c>
      <c r="P137" s="504"/>
      <c r="Q137" s="451">
        <f>IF(ISBLANK(CkReg2022[[#This Row],[Withdrawal]]),Q136+CkReg2022[[#This Row],[Deposit]],Q136-CkReg2022[[#This Row],[Withdrawal]])</f>
        <v>13364.79</v>
      </c>
      <c r="R137" s="376">
        <v>1</v>
      </c>
    </row>
    <row r="138" spans="8:18" x14ac:dyDescent="0.3">
      <c r="H138" s="505"/>
      <c r="I138" s="507"/>
      <c r="J138" s="505"/>
      <c r="K138" s="505"/>
      <c r="L138" s="505"/>
      <c r="M138" s="509"/>
      <c r="N138" s="496"/>
      <c r="O138" s="451">
        <f>IF(ISBLANK(CkReg2022[[#This Row],[Withdrawal]]),O137+CkReg2022[[#This Row],[Deposit]],O137-CkReg2022[[#This Row],[Withdrawal]])</f>
        <v>13364.79</v>
      </c>
      <c r="P138" s="504"/>
      <c r="Q138" s="451">
        <f>IF(ISBLANK(CkReg2022[[#This Row],[Withdrawal]]),Q137+CkReg2022[[#This Row],[Deposit]],Q137-CkReg2022[[#This Row],[Withdrawal]])</f>
        <v>13364.79</v>
      </c>
      <c r="R138" s="376">
        <v>1</v>
      </c>
    </row>
    <row r="139" spans="8:18" x14ac:dyDescent="0.3">
      <c r="H139" s="286"/>
      <c r="I139" s="383"/>
      <c r="J139" s="285"/>
      <c r="K139" s="285"/>
      <c r="L139" s="285"/>
      <c r="M139" s="446"/>
      <c r="N139" s="496"/>
      <c r="O139" s="451">
        <f>IF(ISBLANK(CkReg2022[[#This Row],[Withdrawal]]),O138+CkReg2022[[#This Row],[Deposit]],O138-CkReg2022[[#This Row],[Withdrawal]])</f>
        <v>13364.79</v>
      </c>
      <c r="P139" s="504"/>
      <c r="Q139" s="451">
        <f>IF(ISBLANK(CkReg2022[[#This Row],[Withdrawal]]),Q138+CkReg2022[[#This Row],[Deposit]],Q138-CkReg2022[[#This Row],[Withdrawal]])</f>
        <v>13364.79</v>
      </c>
      <c r="R139" s="376">
        <v>1</v>
      </c>
    </row>
    <row r="140" spans="8:18" x14ac:dyDescent="0.3">
      <c r="H140" s="286"/>
      <c r="I140" s="383"/>
      <c r="J140" s="285"/>
      <c r="K140" s="285"/>
      <c r="L140" s="285"/>
      <c r="M140" s="446"/>
      <c r="N140" s="496"/>
      <c r="O140" s="451">
        <f>IF(ISBLANK(CkReg2022[[#This Row],[Withdrawal]]),O139+CkReg2022[[#This Row],[Deposit]],O139-CkReg2022[[#This Row],[Withdrawal]])</f>
        <v>13364.79</v>
      </c>
      <c r="P140" s="504"/>
      <c r="Q140" s="451">
        <f>IF(ISBLANK(CkReg2022[[#This Row],[Withdrawal]]),Q139+CkReg2022[[#This Row],[Deposit]],Q139-CkReg2022[[#This Row],[Withdrawal]])</f>
        <v>13364.79</v>
      </c>
      <c r="R140" s="376">
        <v>1</v>
      </c>
    </row>
    <row r="141" spans="8:18" x14ac:dyDescent="0.3">
      <c r="H141" s="285"/>
      <c r="I141" s="383"/>
      <c r="J141" s="285"/>
      <c r="K141" s="285"/>
      <c r="L141" s="285"/>
      <c r="M141" s="446"/>
      <c r="N141" s="496"/>
      <c r="O141" s="451">
        <f>IF(ISBLANK(CkReg2022[[#This Row],[Withdrawal]]),O140+CkReg2022[[#This Row],[Deposit]],O140-CkReg2022[[#This Row],[Withdrawal]])</f>
        <v>13364.79</v>
      </c>
      <c r="P141" s="504"/>
      <c r="Q141" s="451">
        <f>IF(ISBLANK(CkReg2022[[#This Row],[Withdrawal]]),Q140+CkReg2022[[#This Row],[Deposit]],Q140-CkReg2022[[#This Row],[Withdrawal]])</f>
        <v>13364.79</v>
      </c>
      <c r="R141" s="376">
        <v>1</v>
      </c>
    </row>
    <row r="142" spans="8:18" x14ac:dyDescent="0.3">
      <c r="H142" s="285"/>
      <c r="I142" s="383"/>
      <c r="J142" s="285"/>
      <c r="K142" s="285"/>
      <c r="L142" s="285"/>
      <c r="M142" s="446"/>
      <c r="N142" s="496"/>
      <c r="O142" s="451">
        <f>IF(ISBLANK(CkReg2022[[#This Row],[Withdrawal]]),O141+CkReg2022[[#This Row],[Deposit]],O141-CkReg2022[[#This Row],[Withdrawal]])</f>
        <v>13364.79</v>
      </c>
      <c r="P142" s="504"/>
      <c r="Q142" s="451">
        <f>IF(ISBLANK(CkReg2022[[#This Row],[Withdrawal]]),Q141+CkReg2022[[#This Row],[Deposit]],Q141-CkReg2022[[#This Row],[Withdrawal]])</f>
        <v>13364.79</v>
      </c>
      <c r="R142" s="376">
        <v>1</v>
      </c>
    </row>
    <row r="143" spans="8:18" x14ac:dyDescent="0.3">
      <c r="H143" s="285"/>
      <c r="I143" s="383"/>
      <c r="J143" s="285"/>
      <c r="K143" s="285"/>
      <c r="L143" s="285"/>
      <c r="M143" s="446"/>
      <c r="N143" s="496"/>
      <c r="O143" s="451">
        <f>IF(ISBLANK(CkReg2022[[#This Row],[Withdrawal]]),O142+CkReg2022[[#This Row],[Deposit]],O142-CkReg2022[[#This Row],[Withdrawal]])</f>
        <v>13364.79</v>
      </c>
      <c r="P143" s="504"/>
      <c r="Q143" s="451">
        <f>IF(ISBLANK(CkReg2022[[#This Row],[Withdrawal]]),Q142+CkReg2022[[#This Row],[Deposit]],Q142-CkReg2022[[#This Row],[Withdrawal]])</f>
        <v>13364.79</v>
      </c>
      <c r="R143" s="376">
        <v>1</v>
      </c>
    </row>
    <row r="144" spans="8:18" x14ac:dyDescent="0.3">
      <c r="H144" s="285"/>
      <c r="I144" s="383"/>
      <c r="J144" s="285"/>
      <c r="K144" s="285"/>
      <c r="L144" s="285"/>
      <c r="M144" s="446"/>
      <c r="N144" s="496"/>
      <c r="O144" s="451">
        <f>IF(ISBLANK(CkReg2022[[#This Row],[Withdrawal]]),O143+CkReg2022[[#This Row],[Deposit]],O143-CkReg2022[[#This Row],[Withdrawal]])</f>
        <v>13364.79</v>
      </c>
      <c r="P144" s="504"/>
      <c r="Q144" s="451">
        <f>IF(ISBLANK(CkReg2022[[#This Row],[Withdrawal]]),Q143+CkReg2022[[#This Row],[Deposit]],Q143-CkReg2022[[#This Row],[Withdrawal]])</f>
        <v>13364.79</v>
      </c>
      <c r="R144" s="376">
        <v>1</v>
      </c>
    </row>
    <row r="145" spans="8:18" x14ac:dyDescent="0.3">
      <c r="H145" s="285"/>
      <c r="I145" s="383"/>
      <c r="J145" s="285"/>
      <c r="K145" s="285"/>
      <c r="L145" s="285"/>
      <c r="M145" s="446"/>
      <c r="N145" s="496"/>
      <c r="O145" s="451">
        <f>IF(ISBLANK(CkReg2022[[#This Row],[Withdrawal]]),O144+CkReg2022[[#This Row],[Deposit]],O144-CkReg2022[[#This Row],[Withdrawal]])</f>
        <v>13364.79</v>
      </c>
      <c r="P145" s="504"/>
      <c r="Q145" s="451">
        <f>IF(ISBLANK(CkReg2022[[#This Row],[Withdrawal]]),Q144+CkReg2022[[#This Row],[Deposit]],Q144-CkReg2022[[#This Row],[Withdrawal]])</f>
        <v>13364.79</v>
      </c>
      <c r="R145" s="376">
        <v>1</v>
      </c>
    </row>
    <row r="146" spans="8:18" x14ac:dyDescent="0.3">
      <c r="H146" s="286"/>
      <c r="I146" s="383"/>
      <c r="J146" s="285"/>
      <c r="K146" s="285"/>
      <c r="L146" s="285"/>
      <c r="M146" s="446"/>
      <c r="N146" s="496"/>
      <c r="O146" s="451">
        <f>IF(ISBLANK(CkReg2022[[#This Row],[Withdrawal]]),O145+CkReg2022[[#This Row],[Deposit]],O145-CkReg2022[[#This Row],[Withdrawal]])</f>
        <v>13364.79</v>
      </c>
      <c r="P146" s="376"/>
      <c r="Q146" s="451">
        <f>IF(ISBLANK(CkReg2022[[#This Row],[Withdrawal]]),Q145+CkReg2022[[#This Row],[Deposit]],Q145-CkReg2022[[#This Row],[Withdrawal]])</f>
        <v>13364.79</v>
      </c>
      <c r="R146" s="376">
        <v>1</v>
      </c>
    </row>
    <row r="147" spans="8:18" x14ac:dyDescent="0.3">
      <c r="H147" s="286"/>
      <c r="I147" s="383"/>
      <c r="J147" s="285"/>
      <c r="K147" s="285"/>
      <c r="L147" s="285"/>
      <c r="M147" s="446"/>
      <c r="N147" s="496"/>
      <c r="O147" s="451">
        <f>IF(ISBLANK(CkReg2022[[#This Row],[Withdrawal]]),O146+CkReg2022[[#This Row],[Deposit]],O146-CkReg2022[[#This Row],[Withdrawal]])</f>
        <v>13364.79</v>
      </c>
      <c r="P147" s="504"/>
      <c r="Q147" s="451">
        <f>IF(ISBLANK(CkReg2022[[#This Row],[Withdrawal]]),Q146+CkReg2022[[#This Row],[Deposit]],Q146-CkReg2022[[#This Row],[Withdrawal]])</f>
        <v>13364.79</v>
      </c>
      <c r="R147" s="376">
        <v>1</v>
      </c>
    </row>
    <row r="148" spans="8:18" x14ac:dyDescent="0.3">
      <c r="H148" s="285"/>
      <c r="I148" s="383"/>
      <c r="J148" s="285"/>
      <c r="K148" s="285"/>
      <c r="L148" s="285"/>
      <c r="M148" s="446"/>
      <c r="N148" s="496"/>
      <c r="O148" s="451">
        <f>IF(ISBLANK(CkReg2022[[#This Row],[Withdrawal]]),O147+CkReg2022[[#This Row],[Deposit]],O147-CkReg2022[[#This Row],[Withdrawal]])</f>
        <v>13364.79</v>
      </c>
      <c r="P148" s="504"/>
      <c r="Q148" s="451">
        <f>IF(ISBLANK(CkReg2022[[#This Row],[Withdrawal]]),Q147+CkReg2022[[#This Row],[Deposit]],Q147-CkReg2022[[#This Row],[Withdrawal]])</f>
        <v>13364.79</v>
      </c>
      <c r="R148" s="376">
        <v>1</v>
      </c>
    </row>
    <row r="149" spans="8:18" x14ac:dyDescent="0.3">
      <c r="H149" s="286"/>
      <c r="I149" s="383"/>
      <c r="J149" s="285"/>
      <c r="K149" s="285"/>
      <c r="L149" s="285"/>
      <c r="M149" s="446"/>
      <c r="N149" s="496"/>
      <c r="O149" s="451">
        <f>IF(ISBLANK(CkReg2022[[#This Row],[Withdrawal]]),O148+CkReg2022[[#This Row],[Deposit]],O148-CkReg2022[[#This Row],[Withdrawal]])</f>
        <v>13364.79</v>
      </c>
      <c r="P149" s="504"/>
      <c r="Q149" s="451">
        <f>IF(ISBLANK(CkReg2022[[#This Row],[Withdrawal]]),Q148+CkReg2022[[#This Row],[Deposit]],Q148-CkReg2022[[#This Row],[Withdrawal]])</f>
        <v>13364.79</v>
      </c>
      <c r="R149" s="376">
        <v>1</v>
      </c>
    </row>
    <row r="150" spans="8:18" x14ac:dyDescent="0.3">
      <c r="H150" s="286"/>
      <c r="I150" s="383"/>
      <c r="J150" s="285"/>
      <c r="K150" s="285"/>
      <c r="L150" s="285"/>
      <c r="M150" s="446"/>
      <c r="N150" s="496"/>
      <c r="O150" s="451">
        <f>IF(ISBLANK(CkReg2022[[#This Row],[Withdrawal]]),O149+CkReg2022[[#This Row],[Deposit]],O149-CkReg2022[[#This Row],[Withdrawal]])</f>
        <v>13364.79</v>
      </c>
      <c r="P150" s="376"/>
      <c r="Q150" s="451">
        <f>IF(ISBLANK(CkReg2022[[#This Row],[Withdrawal]]),Q149+CkReg2022[[#This Row],[Deposit]],Q149-CkReg2022[[#This Row],[Withdrawal]])</f>
        <v>13364.79</v>
      </c>
      <c r="R150" s="376">
        <v>1</v>
      </c>
    </row>
    <row r="151" spans="8:18" x14ac:dyDescent="0.3">
      <c r="H151" s="286"/>
      <c r="I151" s="383"/>
      <c r="J151" s="285"/>
      <c r="K151" s="285"/>
      <c r="L151" s="285"/>
      <c r="M151" s="446"/>
      <c r="N151" s="496"/>
      <c r="O151" s="451">
        <f>IF(ISBLANK(CkReg2022[[#This Row],[Withdrawal]]),O150+CkReg2022[[#This Row],[Deposit]],O150-CkReg2022[[#This Row],[Withdrawal]])</f>
        <v>13364.79</v>
      </c>
      <c r="P151" s="504"/>
      <c r="Q151" s="451">
        <f>IF(ISBLANK(CkReg2022[[#This Row],[Withdrawal]]),Q150+CkReg2022[[#This Row],[Deposit]],Q150-CkReg2022[[#This Row],[Withdrawal]])</f>
        <v>13364.79</v>
      </c>
      <c r="R151" s="376">
        <v>1</v>
      </c>
    </row>
    <row r="152" spans="8:18" x14ac:dyDescent="0.3">
      <c r="H152" s="286"/>
      <c r="I152" s="383"/>
      <c r="J152" s="285"/>
      <c r="K152" s="285"/>
      <c r="L152" s="285"/>
      <c r="M152" s="446"/>
      <c r="N152" s="496"/>
      <c r="O152" s="451">
        <f>IF(ISBLANK(CkReg2022[[#This Row],[Withdrawal]]),O151+CkReg2022[[#This Row],[Deposit]],O151-CkReg2022[[#This Row],[Withdrawal]])</f>
        <v>13364.79</v>
      </c>
      <c r="P152" s="504"/>
      <c r="Q152" s="451">
        <f>IF(ISBLANK(CkReg2022[[#This Row],[Withdrawal]]),Q151+CkReg2022[[#This Row],[Deposit]],Q151-CkReg2022[[#This Row],[Withdrawal]])</f>
        <v>13364.79</v>
      </c>
      <c r="R152" s="376">
        <v>1</v>
      </c>
    </row>
    <row r="153" spans="8:18" x14ac:dyDescent="0.3">
      <c r="H153" s="286"/>
      <c r="I153" s="383"/>
      <c r="J153" s="285"/>
      <c r="K153" s="285"/>
      <c r="L153" s="285"/>
      <c r="M153" s="446"/>
      <c r="N153" s="496"/>
      <c r="O153" s="451">
        <f>IF(ISBLANK(CkReg2022[[#This Row],[Withdrawal]]),O152+CkReg2022[[#This Row],[Deposit]],O152-CkReg2022[[#This Row],[Withdrawal]])</f>
        <v>13364.79</v>
      </c>
      <c r="P153" s="376"/>
      <c r="Q153" s="451">
        <f>IF(ISBLANK(CkReg2022[[#This Row],[Withdrawal]]),Q152+CkReg2022[[#This Row],[Deposit]],Q152-CkReg2022[[#This Row],[Withdrawal]])</f>
        <v>13364.79</v>
      </c>
      <c r="R153" s="376">
        <v>1</v>
      </c>
    </row>
    <row r="154" spans="8:18" x14ac:dyDescent="0.3">
      <c r="H154" s="499"/>
      <c r="I154" s="500"/>
      <c r="J154" s="501"/>
      <c r="K154" s="501"/>
      <c r="L154" s="501"/>
      <c r="M154" s="502"/>
      <c r="N154" s="503"/>
      <c r="O154" s="451">
        <f>IF(ISBLANK(CkReg2022[[#This Row],[Withdrawal]]),O153+CkReg2022[[#This Row],[Deposit]],O153-CkReg2022[[#This Row],[Withdrawal]])</f>
        <v>13364.79</v>
      </c>
      <c r="P154" s="504"/>
      <c r="Q154" s="451">
        <f>IF(ISBLANK(CkReg2022[[#This Row],[Withdrawal]]),Q153+CkReg2022[[#This Row],[Deposit]],Q153-CkReg2022[[#This Row],[Withdrawal]])</f>
        <v>13364.79</v>
      </c>
      <c r="R154" s="376">
        <v>1</v>
      </c>
    </row>
    <row r="155" spans="8:18" x14ac:dyDescent="0.3">
      <c r="H155" s="499"/>
      <c r="I155" s="500"/>
      <c r="J155" s="501"/>
      <c r="K155" s="501"/>
      <c r="L155" s="501"/>
      <c r="M155" s="502"/>
      <c r="N155" s="503"/>
      <c r="O155" s="451">
        <f>IF(ISBLANK(CkReg2022[[#This Row],[Withdrawal]]),O154+CkReg2022[[#This Row],[Deposit]],O154-CkReg2022[[#This Row],[Withdrawal]])</f>
        <v>13364.79</v>
      </c>
      <c r="P155" s="504"/>
      <c r="Q155" s="451">
        <f>IF(ISBLANK(CkReg2022[[#This Row],[Withdrawal]]),Q154+CkReg2022[[#This Row],[Deposit]],Q154-CkReg2022[[#This Row],[Withdrawal]])</f>
        <v>13364.79</v>
      </c>
      <c r="R155" s="376">
        <v>1</v>
      </c>
    </row>
    <row r="156" spans="8:18" x14ac:dyDescent="0.3">
      <c r="H156" s="499"/>
      <c r="I156" s="500"/>
      <c r="J156" s="501"/>
      <c r="K156" s="501"/>
      <c r="L156" s="501"/>
      <c r="M156" s="502"/>
      <c r="N156" s="503"/>
      <c r="O156" s="451">
        <f>IF(ISBLANK(CkReg2022[[#This Row],[Withdrawal]]),O155+CkReg2022[[#This Row],[Deposit]],O155-CkReg2022[[#This Row],[Withdrawal]])</f>
        <v>13364.79</v>
      </c>
      <c r="P156" s="504"/>
      <c r="Q156" s="451">
        <f>IF(ISBLANK(CkReg2022[[#This Row],[Withdrawal]]),Q155+CkReg2022[[#This Row],[Deposit]],Q155-CkReg2022[[#This Row],[Withdrawal]])</f>
        <v>13364.79</v>
      </c>
      <c r="R156" s="376">
        <v>1</v>
      </c>
    </row>
    <row r="157" spans="8:18" x14ac:dyDescent="0.3">
      <c r="H157" s="499"/>
      <c r="I157" s="500"/>
      <c r="J157" s="501"/>
      <c r="K157" s="501"/>
      <c r="L157" s="501"/>
      <c r="M157" s="502"/>
      <c r="N157" s="503"/>
      <c r="O157" s="451">
        <f>IF(ISBLANK(CkReg2022[[#This Row],[Withdrawal]]),O156+CkReg2022[[#This Row],[Deposit]],O156-CkReg2022[[#This Row],[Withdrawal]])</f>
        <v>13364.79</v>
      </c>
      <c r="P157" s="504"/>
      <c r="Q157" s="451">
        <f>IF(ISBLANK(CkReg2022[[#This Row],[Withdrawal]]),Q156+CkReg2022[[#This Row],[Deposit]],Q156-CkReg2022[[#This Row],[Withdrawal]])</f>
        <v>13364.79</v>
      </c>
      <c r="R157" s="376">
        <v>1</v>
      </c>
    </row>
    <row r="158" spans="8:18" x14ac:dyDescent="0.3">
      <c r="H158" s="499"/>
      <c r="I158" s="500"/>
      <c r="J158" s="501"/>
      <c r="K158" s="501"/>
      <c r="L158" s="501"/>
      <c r="M158" s="502"/>
      <c r="N158" s="503"/>
      <c r="O158" s="451">
        <f>IF(ISBLANK(CkReg2022[[#This Row],[Withdrawal]]),O157+CkReg2022[[#This Row],[Deposit]],O157-CkReg2022[[#This Row],[Withdrawal]])</f>
        <v>13364.79</v>
      </c>
      <c r="P158" s="504"/>
      <c r="Q158" s="451">
        <f>IF(ISBLANK(CkReg2022[[#This Row],[Withdrawal]]),Q157+CkReg2022[[#This Row],[Deposit]],Q157-CkReg2022[[#This Row],[Withdrawal]])</f>
        <v>13364.79</v>
      </c>
      <c r="R158" s="376">
        <v>1</v>
      </c>
    </row>
    <row r="159" spans="8:18" x14ac:dyDescent="0.3">
      <c r="H159" s="499"/>
      <c r="I159" s="500"/>
      <c r="J159" s="501"/>
      <c r="K159" s="501"/>
      <c r="L159" s="501"/>
      <c r="M159" s="502"/>
      <c r="N159" s="503"/>
      <c r="O159" s="451">
        <f>IF(ISBLANK(CkReg2022[[#This Row],[Withdrawal]]),O158+CkReg2022[[#This Row],[Deposit]],O158-CkReg2022[[#This Row],[Withdrawal]])</f>
        <v>13364.79</v>
      </c>
      <c r="P159" s="504"/>
      <c r="Q159" s="451">
        <f>IF(ISBLANK(CkReg2022[[#This Row],[Withdrawal]]),Q158+CkReg2022[[#This Row],[Deposit]],Q158-CkReg2022[[#This Row],[Withdrawal]])</f>
        <v>13364.79</v>
      </c>
      <c r="R159" s="376">
        <v>1</v>
      </c>
    </row>
    <row r="160" spans="8:18" x14ac:dyDescent="0.3">
      <c r="H160" s="499"/>
      <c r="I160" s="500"/>
      <c r="J160" s="501"/>
      <c r="K160" s="285"/>
      <c r="L160" s="501"/>
      <c r="M160" s="502"/>
      <c r="N160" s="503"/>
      <c r="O160" s="451">
        <f>IF(ISBLANK(CkReg2022[[#This Row],[Withdrawal]]),O159+CkReg2022[[#This Row],[Deposit]],O159-CkReg2022[[#This Row],[Withdrawal]])</f>
        <v>13364.79</v>
      </c>
      <c r="P160" s="504"/>
      <c r="Q160" s="451">
        <f>IF(ISBLANK(CkReg2022[[#This Row],[Withdrawal]]),Q159+CkReg2022[[#This Row],[Deposit]],Q159-CkReg2022[[#This Row],[Withdrawal]])</f>
        <v>13364.79</v>
      </c>
      <c r="R160" s="376">
        <v>1</v>
      </c>
    </row>
    <row r="161" spans="8:18" x14ac:dyDescent="0.3">
      <c r="H161" s="499"/>
      <c r="I161" s="500"/>
      <c r="J161" s="501"/>
      <c r="K161" s="501"/>
      <c r="L161" s="501"/>
      <c r="M161" s="502"/>
      <c r="N161" s="503"/>
      <c r="O161" s="451">
        <f>IF(ISBLANK(CkReg2022[[#This Row],[Withdrawal]]),O160+CkReg2022[[#This Row],[Deposit]],O160-CkReg2022[[#This Row],[Withdrawal]])</f>
        <v>13364.79</v>
      </c>
      <c r="P161" s="504"/>
      <c r="Q161" s="451">
        <f>IF(ISBLANK(CkReg2022[[#This Row],[Withdrawal]]),Q160+CkReg2022[[#This Row],[Deposit]],Q160-CkReg2022[[#This Row],[Withdrawal]])</f>
        <v>13364.79</v>
      </c>
      <c r="R161" s="376">
        <v>1</v>
      </c>
    </row>
    <row r="162" spans="8:18" x14ac:dyDescent="0.3">
      <c r="H162" s="499"/>
      <c r="I162" s="500"/>
      <c r="J162" s="501"/>
      <c r="K162" s="501"/>
      <c r="L162" s="501"/>
      <c r="M162" s="502"/>
      <c r="N162" s="503"/>
      <c r="O162" s="451">
        <f>IF(ISBLANK(CkReg2022[[#This Row],[Withdrawal]]),O161+CkReg2022[[#This Row],[Deposit]],O161-CkReg2022[[#This Row],[Withdrawal]])</f>
        <v>13364.79</v>
      </c>
      <c r="P162" s="504"/>
      <c r="Q162" s="451">
        <f>IF(ISBLANK(CkReg2022[[#This Row],[Withdrawal]]),Q161+CkReg2022[[#This Row],[Deposit]],Q161-CkReg2022[[#This Row],[Withdrawal]])</f>
        <v>13364.79</v>
      </c>
      <c r="R162" s="376">
        <v>1</v>
      </c>
    </row>
    <row r="163" spans="8:18" x14ac:dyDescent="0.3">
      <c r="H163" s="499"/>
      <c r="I163" s="500"/>
      <c r="J163" s="501"/>
      <c r="K163" s="501"/>
      <c r="L163" s="501"/>
      <c r="M163" s="502"/>
      <c r="N163" s="503"/>
      <c r="O163" s="451">
        <f>IF(ISBLANK(CkReg2022[[#This Row],[Withdrawal]]),O162+CkReg2022[[#This Row],[Deposit]],O162-CkReg2022[[#This Row],[Withdrawal]])</f>
        <v>13364.79</v>
      </c>
      <c r="P163" s="504"/>
      <c r="Q163" s="451">
        <f>IF(ISBLANK(CkReg2022[[#This Row],[Withdrawal]]),Q162+CkReg2022[[#This Row],[Deposit]],Q162-CkReg2022[[#This Row],[Withdrawal]])</f>
        <v>13364.79</v>
      </c>
      <c r="R163" s="376">
        <v>1</v>
      </c>
    </row>
    <row r="164" spans="8:18" x14ac:dyDescent="0.3">
      <c r="H164" s="499"/>
      <c r="I164" s="500"/>
      <c r="J164" s="501"/>
      <c r="K164" s="501"/>
      <c r="L164" s="501"/>
      <c r="M164" s="502"/>
      <c r="N164" s="503"/>
      <c r="O164" s="451">
        <f>IF(ISBLANK(CkReg2022[[#This Row],[Withdrawal]]),O163+CkReg2022[[#This Row],[Deposit]],O163-CkReg2022[[#This Row],[Withdrawal]])</f>
        <v>13364.79</v>
      </c>
      <c r="P164" s="504"/>
      <c r="Q164" s="451">
        <f>IF(ISBLANK(CkReg2022[[#This Row],[Withdrawal]]),Q163+CkReg2022[[#This Row],[Deposit]],Q163-CkReg2022[[#This Row],[Withdrawal]])</f>
        <v>13364.79</v>
      </c>
      <c r="R164" s="376">
        <v>1</v>
      </c>
    </row>
    <row r="165" spans="8:18" x14ac:dyDescent="0.3">
      <c r="H165" s="499"/>
      <c r="I165" s="500"/>
      <c r="J165" s="501"/>
      <c r="K165" s="501"/>
      <c r="L165" s="501"/>
      <c r="M165" s="502"/>
      <c r="N165" s="503"/>
      <c r="O165" s="451">
        <f>IF(ISBLANK(CkReg2022[[#This Row],[Withdrawal]]),O164+CkReg2022[[#This Row],[Deposit]],O164-CkReg2022[[#This Row],[Withdrawal]])</f>
        <v>13364.79</v>
      </c>
      <c r="P165" s="504"/>
      <c r="Q165" s="451">
        <f>IF(ISBLANK(CkReg2022[[#This Row],[Withdrawal]]),Q164+CkReg2022[[#This Row],[Deposit]],Q164-CkReg2022[[#This Row],[Withdrawal]])</f>
        <v>13364.79</v>
      </c>
      <c r="R165" s="376">
        <v>1</v>
      </c>
    </row>
    <row r="166" spans="8:18" x14ac:dyDescent="0.3">
      <c r="H166" s="499"/>
      <c r="I166" s="500"/>
      <c r="J166" s="501"/>
      <c r="K166" s="501"/>
      <c r="L166" s="501"/>
      <c r="M166" s="502"/>
      <c r="N166" s="503"/>
      <c r="O166" s="451">
        <f>IF(ISBLANK(CkReg2022[[#This Row],[Withdrawal]]),O165+CkReg2022[[#This Row],[Deposit]],O165-CkReg2022[[#This Row],[Withdrawal]])</f>
        <v>13364.79</v>
      </c>
      <c r="P166" s="504"/>
      <c r="Q166" s="451">
        <f>IF(ISBLANK(CkReg2022[[#This Row],[Withdrawal]]),Q165+CkReg2022[[#This Row],[Deposit]],Q165-CkReg2022[[#This Row],[Withdrawal]])</f>
        <v>13364.79</v>
      </c>
      <c r="R166" s="376">
        <v>1</v>
      </c>
    </row>
    <row r="167" spans="8:18" x14ac:dyDescent="0.3">
      <c r="H167" s="499"/>
      <c r="I167" s="500"/>
      <c r="J167" s="501"/>
      <c r="K167" s="501"/>
      <c r="L167" s="501"/>
      <c r="M167" s="502"/>
      <c r="N167" s="503"/>
      <c r="O167" s="451">
        <f>IF(ISBLANK(CkReg2022[[#This Row],[Withdrawal]]),O166+CkReg2022[[#This Row],[Deposit]],O166-CkReg2022[[#This Row],[Withdrawal]])</f>
        <v>13364.79</v>
      </c>
      <c r="P167" s="504"/>
      <c r="Q167" s="451">
        <f>IF(ISBLANK(CkReg2022[[#This Row],[Withdrawal]]),Q166+CkReg2022[[#This Row],[Deposit]],Q166-CkReg2022[[#This Row],[Withdrawal]])</f>
        <v>13364.79</v>
      </c>
      <c r="R167" s="376">
        <v>1</v>
      </c>
    </row>
    <row r="168" spans="8:18" x14ac:dyDescent="0.3">
      <c r="H168" s="499"/>
      <c r="I168" s="500"/>
      <c r="J168" s="501"/>
      <c r="K168" s="501"/>
      <c r="L168" s="501"/>
      <c r="M168" s="502"/>
      <c r="N168" s="503"/>
      <c r="O168" s="451">
        <f>IF(ISBLANK(CkReg2022[[#This Row],[Withdrawal]]),O167+CkReg2022[[#This Row],[Deposit]],O167-CkReg2022[[#This Row],[Withdrawal]])</f>
        <v>13364.79</v>
      </c>
      <c r="P168" s="504"/>
      <c r="Q168" s="451">
        <f>IF(ISBLANK(CkReg2022[[#This Row],[Withdrawal]]),Q167+CkReg2022[[#This Row],[Deposit]],Q167-CkReg2022[[#This Row],[Withdrawal]])</f>
        <v>13364.79</v>
      </c>
      <c r="R168" s="376">
        <v>1</v>
      </c>
    </row>
    <row r="169" spans="8:18" x14ac:dyDescent="0.3">
      <c r="H169" s="499"/>
      <c r="I169" s="500"/>
      <c r="J169" s="501"/>
      <c r="K169" s="501"/>
      <c r="L169" s="501"/>
      <c r="M169" s="502"/>
      <c r="N169" s="503"/>
      <c r="O169" s="451">
        <f>IF(ISBLANK(CkReg2022[[#This Row],[Withdrawal]]),O168+CkReg2022[[#This Row],[Deposit]],O168-CkReg2022[[#This Row],[Withdrawal]])</f>
        <v>13364.79</v>
      </c>
      <c r="P169" s="504"/>
      <c r="Q169" s="451">
        <f>IF(ISBLANK(CkReg2022[[#This Row],[Withdrawal]]),Q168+CkReg2022[[#This Row],[Deposit]],Q168-CkReg2022[[#This Row],[Withdrawal]])</f>
        <v>13364.79</v>
      </c>
      <c r="R169" s="376">
        <v>1</v>
      </c>
    </row>
    <row r="170" spans="8:18" x14ac:dyDescent="0.3">
      <c r="H170" s="499"/>
      <c r="I170" s="500"/>
      <c r="J170" s="285"/>
      <c r="K170" s="285"/>
      <c r="L170" s="501"/>
      <c r="M170" s="502"/>
      <c r="N170" s="503"/>
      <c r="O170" s="451">
        <f>IF(ISBLANK(CkReg2022[[#This Row],[Withdrawal]]),O169+CkReg2022[[#This Row],[Deposit]],O169-CkReg2022[[#This Row],[Withdrawal]])</f>
        <v>13364.79</v>
      </c>
      <c r="P170" s="504"/>
      <c r="Q170" s="451">
        <f>IF(ISBLANK(CkReg2022[[#This Row],[Withdrawal]]),Q169+CkReg2022[[#This Row],[Deposit]],Q169-CkReg2022[[#This Row],[Withdrawal]])</f>
        <v>13364.79</v>
      </c>
      <c r="R170" s="376">
        <v>1</v>
      </c>
    </row>
    <row r="171" spans="8:18" x14ac:dyDescent="0.3">
      <c r="H171" s="499"/>
      <c r="I171" s="500"/>
      <c r="J171" s="501"/>
      <c r="K171" s="501"/>
      <c r="L171" s="501"/>
      <c r="M171" s="502"/>
      <c r="N171" s="503"/>
      <c r="O171" s="451">
        <f>IF(ISBLANK(CkReg2022[[#This Row],[Withdrawal]]),O170+CkReg2022[[#This Row],[Deposit]],O170-CkReg2022[[#This Row],[Withdrawal]])</f>
        <v>13364.79</v>
      </c>
      <c r="P171" s="504"/>
      <c r="Q171" s="451">
        <f>IF(ISBLANK(CkReg2022[[#This Row],[Withdrawal]]),Q170+CkReg2022[[#This Row],[Deposit]],Q170-CkReg2022[[#This Row],[Withdrawal]])</f>
        <v>13364.79</v>
      </c>
      <c r="R171" s="376">
        <v>1</v>
      </c>
    </row>
    <row r="172" spans="8:18" x14ac:dyDescent="0.3">
      <c r="H172" s="499"/>
      <c r="I172" s="500"/>
      <c r="J172" s="501"/>
      <c r="K172" s="501"/>
      <c r="L172" s="501"/>
      <c r="M172" s="502"/>
      <c r="N172" s="503"/>
      <c r="O172" s="451">
        <f>IF(ISBLANK(CkReg2022[[#This Row],[Withdrawal]]),O171+CkReg2022[[#This Row],[Deposit]],O171-CkReg2022[[#This Row],[Withdrawal]])</f>
        <v>13364.79</v>
      </c>
      <c r="P172" s="504"/>
      <c r="Q172" s="451">
        <f>IF(ISBLANK(CkReg2022[[#This Row],[Withdrawal]]),Q171+CkReg2022[[#This Row],[Deposit]],Q171-CkReg2022[[#This Row],[Withdrawal]])</f>
        <v>13364.79</v>
      </c>
      <c r="R172" s="376">
        <v>1</v>
      </c>
    </row>
    <row r="173" spans="8:18" x14ac:dyDescent="0.3">
      <c r="H173" s="499"/>
      <c r="I173" s="500"/>
      <c r="J173" s="285"/>
      <c r="K173" s="285"/>
      <c r="L173" s="501"/>
      <c r="M173" s="502"/>
      <c r="N173" s="503"/>
      <c r="O173" s="451">
        <f>IF(ISBLANK(CkReg2022[[#This Row],[Withdrawal]]),O172+CkReg2022[[#This Row],[Deposit]],O172-CkReg2022[[#This Row],[Withdrawal]])</f>
        <v>13364.79</v>
      </c>
      <c r="P173" s="504"/>
      <c r="Q173" s="451">
        <f>IF(ISBLANK(CkReg2022[[#This Row],[Withdrawal]]),Q172+CkReg2022[[#This Row],[Deposit]],Q172-CkReg2022[[#This Row],[Withdrawal]])</f>
        <v>13364.79</v>
      </c>
      <c r="R173" s="376">
        <v>1</v>
      </c>
    </row>
    <row r="174" spans="8:18" x14ac:dyDescent="0.3">
      <c r="H174" s="499"/>
      <c r="I174" s="500"/>
      <c r="J174" s="501"/>
      <c r="K174" s="501"/>
      <c r="L174" s="501"/>
      <c r="M174" s="502"/>
      <c r="N174" s="503"/>
      <c r="O174" s="451">
        <f>IF(ISBLANK(CkReg2022[[#This Row],[Withdrawal]]),O173+CkReg2022[[#This Row],[Deposit]],O173-CkReg2022[[#This Row],[Withdrawal]])</f>
        <v>13364.79</v>
      </c>
      <c r="P174" s="504"/>
      <c r="Q174" s="451">
        <f>IF(ISBLANK(CkReg2022[[#This Row],[Withdrawal]]),Q173+CkReg2022[[#This Row],[Deposit]],Q173-CkReg2022[[#This Row],[Withdrawal]])</f>
        <v>13364.79</v>
      </c>
      <c r="R174" s="376">
        <v>1</v>
      </c>
    </row>
    <row r="175" spans="8:18" x14ac:dyDescent="0.3">
      <c r="H175" s="536"/>
      <c r="I175" s="537"/>
      <c r="J175" s="538"/>
      <c r="K175" s="538"/>
      <c r="L175" s="538"/>
      <c r="M175" s="539"/>
      <c r="N175" s="540"/>
      <c r="O175" s="451">
        <f>IF(ISBLANK(CkReg2022[[#This Row],[Withdrawal]]),O174+CkReg2022[[#This Row],[Deposit]],O174-CkReg2022[[#This Row],[Withdrawal]])</f>
        <v>13364.79</v>
      </c>
      <c r="P175" s="541"/>
      <c r="Q175" s="451">
        <f>IF(ISBLANK(CkReg2022[[#This Row],[Withdrawal]]),Q174+CkReg2022[[#This Row],[Deposit]],Q174-CkReg2022[[#This Row],[Withdrawal]])</f>
        <v>13364.79</v>
      </c>
      <c r="R175" s="376">
        <v>1</v>
      </c>
    </row>
    <row r="176" spans="8:18" x14ac:dyDescent="0.3">
      <c r="H176" s="536"/>
      <c r="I176" s="537"/>
      <c r="J176" s="538"/>
      <c r="K176" s="538"/>
      <c r="L176" s="538"/>
      <c r="M176" s="539"/>
      <c r="N176" s="540"/>
      <c r="O176" s="451">
        <f>IF(ISBLANK(CkReg2022[[#This Row],[Withdrawal]]),O175+CkReg2022[[#This Row],[Deposit]],O175-CkReg2022[[#This Row],[Withdrawal]])</f>
        <v>13364.79</v>
      </c>
      <c r="P176" s="541"/>
      <c r="Q176" s="451">
        <f>IF(ISBLANK(CkReg2022[[#This Row],[Withdrawal]]),Q175+CkReg2022[[#This Row],[Deposit]],Q175-CkReg2022[[#This Row],[Withdrawal]])</f>
        <v>13364.79</v>
      </c>
      <c r="R176" s="376">
        <v>1</v>
      </c>
    </row>
    <row r="177" spans="8:18" x14ac:dyDescent="0.3">
      <c r="H177" s="499"/>
      <c r="I177" s="500"/>
      <c r="J177" s="501"/>
      <c r="K177" s="501"/>
      <c r="L177" s="501"/>
      <c r="M177" s="502"/>
      <c r="N177" s="503"/>
      <c r="O177" s="451">
        <f>IF(ISBLANK(CkReg2022[[#This Row],[Withdrawal]]),O176+CkReg2022[[#This Row],[Deposit]],O176-CkReg2022[[#This Row],[Withdrawal]])</f>
        <v>13364.79</v>
      </c>
      <c r="P177" s="504"/>
      <c r="Q177" s="451">
        <f>IF(ISBLANK(CkReg2022[[#This Row],[Withdrawal]]),Q176+CkReg2022[[#This Row],[Deposit]],Q176-CkReg2022[[#This Row],[Withdrawal]])</f>
        <v>13364.79</v>
      </c>
      <c r="R177" s="376">
        <v>1</v>
      </c>
    </row>
    <row r="178" spans="8:18" x14ac:dyDescent="0.3">
      <c r="H178" s="499"/>
      <c r="I178" s="500"/>
      <c r="J178" s="501"/>
      <c r="K178" s="501"/>
      <c r="L178" s="501"/>
      <c r="M178" s="502"/>
      <c r="N178" s="503"/>
      <c r="O178" s="451">
        <f>IF(ISBLANK(CkReg2022[[#This Row],[Withdrawal]]),O177+CkReg2022[[#This Row],[Deposit]],O177-CkReg2022[[#This Row],[Withdrawal]])</f>
        <v>13364.79</v>
      </c>
      <c r="P178" s="504"/>
      <c r="Q178" s="451">
        <f>IF(ISBLANK(CkReg2022[[#This Row],[Withdrawal]]),Q177+CkReg2022[[#This Row],[Deposit]],Q177-CkReg2022[[#This Row],[Withdrawal]])</f>
        <v>13364.79</v>
      </c>
      <c r="R178" s="376">
        <v>1</v>
      </c>
    </row>
    <row r="179" spans="8:18" x14ac:dyDescent="0.3">
      <c r="H179" s="499"/>
      <c r="I179" s="500"/>
      <c r="J179" s="501"/>
      <c r="K179" s="501"/>
      <c r="L179" s="501"/>
      <c r="M179" s="502"/>
      <c r="N179" s="503"/>
      <c r="O179" s="451">
        <f>IF(ISBLANK(CkReg2022[[#This Row],[Withdrawal]]),O178+CkReg2022[[#This Row],[Deposit]],O178-CkReg2022[[#This Row],[Withdrawal]])</f>
        <v>13364.79</v>
      </c>
      <c r="P179" s="504"/>
      <c r="Q179" s="451">
        <f>IF(ISBLANK(CkReg2022[[#This Row],[Withdrawal]]),Q178+CkReg2022[[#This Row],[Deposit]],Q178-CkReg2022[[#This Row],[Withdrawal]])</f>
        <v>13364.79</v>
      </c>
      <c r="R179" s="376">
        <v>1</v>
      </c>
    </row>
    <row r="180" spans="8:18" x14ac:dyDescent="0.3">
      <c r="H180" s="499"/>
      <c r="I180" s="500"/>
      <c r="J180" s="285"/>
      <c r="K180" s="285"/>
      <c r="L180" s="501"/>
      <c r="M180" s="568"/>
      <c r="N180" s="503"/>
      <c r="O180" s="451">
        <f>IF(ISBLANK(CkReg2022[[#This Row],[Withdrawal]]),O179+CkReg2022[[#This Row],[Deposit]],O179-CkReg2022[[#This Row],[Withdrawal]])</f>
        <v>13364.79</v>
      </c>
      <c r="P180" s="504"/>
      <c r="Q180" s="451">
        <f>IF(ISBLANK(CkReg2022[[#This Row],[Withdrawal]]),Q179+CkReg2022[[#This Row],[Deposit]],Q179-CkReg2022[[#This Row],[Withdrawal]])</f>
        <v>13364.79</v>
      </c>
      <c r="R180" s="376">
        <v>1</v>
      </c>
    </row>
    <row r="181" spans="8:18" x14ac:dyDescent="0.3">
      <c r="H181" s="499"/>
      <c r="I181" s="500"/>
      <c r="J181" s="501"/>
      <c r="K181" s="501"/>
      <c r="L181" s="501"/>
      <c r="M181" s="502"/>
      <c r="N181" s="503"/>
      <c r="O181" s="451">
        <f>IF(ISBLANK(CkReg2022[[#This Row],[Withdrawal]]),O180+CkReg2022[[#This Row],[Deposit]],O180-CkReg2022[[#This Row],[Withdrawal]])</f>
        <v>13364.79</v>
      </c>
      <c r="P181" s="504"/>
      <c r="Q181" s="451">
        <f>IF(ISBLANK(CkReg2022[[#This Row],[Withdrawal]]),Q180+CkReg2022[[#This Row],[Deposit]],Q180-CkReg2022[[#This Row],[Withdrawal]])</f>
        <v>13364.79</v>
      </c>
      <c r="R181" s="376">
        <v>1</v>
      </c>
    </row>
    <row r="182" spans="8:18" x14ac:dyDescent="0.3">
      <c r="H182" s="499"/>
      <c r="I182" s="500"/>
      <c r="J182" s="285"/>
      <c r="K182" s="285"/>
      <c r="L182" s="501"/>
      <c r="M182" s="502"/>
      <c r="N182" s="503"/>
      <c r="O182" s="451">
        <f>IF(ISBLANK(CkReg2022[[#This Row],[Withdrawal]]),O181+CkReg2022[[#This Row],[Deposit]],O181-CkReg2022[[#This Row],[Withdrawal]])</f>
        <v>13364.79</v>
      </c>
      <c r="P182" s="504"/>
      <c r="Q182" s="451">
        <f>IF(ISBLANK(CkReg2022[[#This Row],[Withdrawal]]),Q181+CkReg2022[[#This Row],[Deposit]],Q181-CkReg2022[[#This Row],[Withdrawal]])</f>
        <v>13364.79</v>
      </c>
      <c r="R182" s="376">
        <v>1</v>
      </c>
    </row>
    <row r="183" spans="8:18" x14ac:dyDescent="0.3">
      <c r="H183" s="499"/>
      <c r="I183" s="500"/>
      <c r="J183" s="501"/>
      <c r="K183" s="285"/>
      <c r="L183" s="501"/>
      <c r="M183" s="502"/>
      <c r="N183" s="503"/>
      <c r="O183" s="451">
        <f>IF(ISBLANK(CkReg2022[[#This Row],[Withdrawal]]),O182+CkReg2022[[#This Row],[Deposit]],O182-CkReg2022[[#This Row],[Withdrawal]])</f>
        <v>13364.79</v>
      </c>
      <c r="P183" s="504"/>
      <c r="Q183" s="451">
        <f>IF(ISBLANK(CkReg2022[[#This Row],[Withdrawal]]),Q182+CkReg2022[[#This Row],[Deposit]],Q182-CkReg2022[[#This Row],[Withdrawal]])</f>
        <v>13364.79</v>
      </c>
      <c r="R183" s="376">
        <v>1</v>
      </c>
    </row>
    <row r="184" spans="8:18" x14ac:dyDescent="0.3">
      <c r="H184" s="499"/>
      <c r="I184" s="500"/>
      <c r="J184" s="501"/>
      <c r="K184" s="501"/>
      <c r="L184" s="501"/>
      <c r="M184" s="502"/>
      <c r="N184" s="503"/>
      <c r="O184" s="451">
        <f>IF(ISBLANK(CkReg2022[[#This Row],[Withdrawal]]),O183+CkReg2022[[#This Row],[Deposit]],O183-CkReg2022[[#This Row],[Withdrawal]])</f>
        <v>13364.79</v>
      </c>
      <c r="P184" s="504"/>
      <c r="Q184" s="451">
        <f>IF(ISBLANK(CkReg2022[[#This Row],[Withdrawal]]),Q183+CkReg2022[[#This Row],[Deposit]],Q183-CkReg2022[[#This Row],[Withdrawal]])</f>
        <v>13364.79</v>
      </c>
      <c r="R184" s="376">
        <v>1</v>
      </c>
    </row>
    <row r="185" spans="8:18" x14ac:dyDescent="0.3">
      <c r="H185" s="499"/>
      <c r="I185" s="500"/>
      <c r="J185" s="501"/>
      <c r="K185" s="501"/>
      <c r="L185" s="501"/>
      <c r="M185" s="502"/>
      <c r="N185" s="503"/>
      <c r="O185" s="451">
        <f>IF(ISBLANK(CkReg2022[[#This Row],[Withdrawal]]),O184+CkReg2022[[#This Row],[Deposit]],O184-CkReg2022[[#This Row],[Withdrawal]])</f>
        <v>13364.79</v>
      </c>
      <c r="P185" s="504"/>
      <c r="Q185" s="451">
        <f>IF(ISBLANK(CkReg2022[[#This Row],[Withdrawal]]),Q184+CkReg2022[[#This Row],[Deposit]],Q184-CkReg2022[[#This Row],[Withdrawal]])</f>
        <v>13364.79</v>
      </c>
      <c r="R185" s="376">
        <v>1</v>
      </c>
    </row>
    <row r="186" spans="8:18" x14ac:dyDescent="0.3">
      <c r="H186" s="499"/>
      <c r="I186" s="500"/>
      <c r="J186" s="501"/>
      <c r="K186" s="285"/>
      <c r="L186" s="501"/>
      <c r="M186" s="502"/>
      <c r="N186" s="503"/>
      <c r="O186" s="451">
        <f>IF(ISBLANK(CkReg2022[[#This Row],[Withdrawal]]),O185+CkReg2022[[#This Row],[Deposit]],O185-CkReg2022[[#This Row],[Withdrawal]])</f>
        <v>13364.79</v>
      </c>
      <c r="P186" s="504"/>
      <c r="Q186" s="451">
        <f>IF(ISBLANK(CkReg2022[[#This Row],[Withdrawal]]),Q185+CkReg2022[[#This Row],[Deposit]],Q185-CkReg2022[[#This Row],[Withdrawal]])</f>
        <v>13364.79</v>
      </c>
      <c r="R186" s="376">
        <v>1</v>
      </c>
    </row>
    <row r="187" spans="8:18" x14ac:dyDescent="0.3">
      <c r="H187" s="499"/>
      <c r="I187" s="500"/>
      <c r="J187" s="501"/>
      <c r="K187" s="285"/>
      <c r="L187" s="501"/>
      <c r="M187" s="502"/>
      <c r="N187" s="503"/>
      <c r="O187" s="451">
        <f>IF(ISBLANK(CkReg2022[[#This Row],[Withdrawal]]),O186+CkReg2022[[#This Row],[Deposit]],O186-CkReg2022[[#This Row],[Withdrawal]])</f>
        <v>13364.79</v>
      </c>
      <c r="P187" s="504"/>
      <c r="Q187" s="451">
        <f>IF(ISBLANK(CkReg2022[[#This Row],[Withdrawal]]),Q186+CkReg2022[[#This Row],[Deposit]],Q186-CkReg2022[[#This Row],[Withdrawal]])</f>
        <v>13364.79</v>
      </c>
      <c r="R187" s="376">
        <v>1</v>
      </c>
    </row>
    <row r="188" spans="8:18" x14ac:dyDescent="0.3">
      <c r="H188" s="499"/>
      <c r="I188" s="500"/>
      <c r="J188" s="501"/>
      <c r="K188" s="285"/>
      <c r="L188" s="501"/>
      <c r="M188" s="502"/>
      <c r="N188" s="503"/>
      <c r="O188" s="451">
        <f>IF(ISBLANK(CkReg2022[[#This Row],[Withdrawal]]),O187+CkReg2022[[#This Row],[Deposit]],O187-CkReg2022[[#This Row],[Withdrawal]])</f>
        <v>13364.79</v>
      </c>
      <c r="P188" s="504"/>
      <c r="Q188" s="451">
        <f>IF(ISBLANK(CkReg2022[[#This Row],[Withdrawal]]),Q187+CkReg2022[[#This Row],[Deposit]],Q187-CkReg2022[[#This Row],[Withdrawal]])</f>
        <v>13364.79</v>
      </c>
      <c r="R188" s="376">
        <v>1</v>
      </c>
    </row>
    <row r="189" spans="8:18" x14ac:dyDescent="0.3">
      <c r="H189" s="499"/>
      <c r="I189" s="500"/>
      <c r="J189" s="501"/>
      <c r="K189" s="501"/>
      <c r="L189" s="501"/>
      <c r="M189" s="502"/>
      <c r="N189" s="503"/>
      <c r="O189" s="451">
        <f>IF(ISBLANK(CkReg2022[[#This Row],[Withdrawal]]),O188+CkReg2022[[#This Row],[Deposit]],O188-CkReg2022[[#This Row],[Withdrawal]])</f>
        <v>13364.79</v>
      </c>
      <c r="P189" s="504"/>
      <c r="Q189" s="451">
        <f>IF(ISBLANK(CkReg2022[[#This Row],[Withdrawal]]),Q188+CkReg2022[[#This Row],[Deposit]],Q188-CkReg2022[[#This Row],[Withdrawal]])</f>
        <v>13364.79</v>
      </c>
      <c r="R189" s="376">
        <v>1</v>
      </c>
    </row>
    <row r="190" spans="8:18" x14ac:dyDescent="0.3">
      <c r="H190" s="499"/>
      <c r="I190" s="500"/>
      <c r="J190" s="501"/>
      <c r="K190" s="501"/>
      <c r="L190" s="501"/>
      <c r="M190" s="502"/>
      <c r="N190" s="503"/>
      <c r="O190" s="451">
        <f>IF(ISBLANK(CkReg2022[[#This Row],[Withdrawal]]),O189+CkReg2022[[#This Row],[Deposit]],O189-CkReg2022[[#This Row],[Withdrawal]])</f>
        <v>13364.79</v>
      </c>
      <c r="P190" s="504"/>
      <c r="Q190" s="451">
        <f>IF(ISBLANK(CkReg2022[[#This Row],[Withdrawal]]),Q189+CkReg2022[[#This Row],[Deposit]],Q189-CkReg2022[[#This Row],[Withdrawal]])</f>
        <v>13364.79</v>
      </c>
      <c r="R190" s="376">
        <v>1</v>
      </c>
    </row>
    <row r="191" spans="8:18" x14ac:dyDescent="0.3">
      <c r="H191" s="499"/>
      <c r="I191" s="500"/>
      <c r="J191" s="501"/>
      <c r="K191" s="285"/>
      <c r="L191" s="501"/>
      <c r="M191" s="502"/>
      <c r="N191" s="503"/>
      <c r="O191" s="451">
        <f>IF(ISBLANK(CkReg2022[[#This Row],[Withdrawal]]),O190+CkReg2022[[#This Row],[Deposit]],O190-CkReg2022[[#This Row],[Withdrawal]])</f>
        <v>13364.79</v>
      </c>
      <c r="P191" s="504"/>
      <c r="Q191" s="451">
        <f>IF(ISBLANK(CkReg2022[[#This Row],[Withdrawal]]),Q190+CkReg2022[[#This Row],[Deposit]],Q190-CkReg2022[[#This Row],[Withdrawal]])</f>
        <v>13364.79</v>
      </c>
      <c r="R191" s="376">
        <v>1</v>
      </c>
    </row>
    <row r="192" spans="8:18" x14ac:dyDescent="0.3">
      <c r="H192" s="499"/>
      <c r="I192" s="500"/>
      <c r="J192" s="501"/>
      <c r="K192" s="285"/>
      <c r="L192" s="501"/>
      <c r="M192" s="502"/>
      <c r="N192" s="503"/>
      <c r="O192" s="451">
        <f>IF(ISBLANK(CkReg2022[[#This Row],[Withdrawal]]),O191+CkReg2022[[#This Row],[Deposit]],O191-CkReg2022[[#This Row],[Withdrawal]])</f>
        <v>13364.79</v>
      </c>
      <c r="P192" s="504"/>
      <c r="Q192" s="451">
        <f>IF(ISBLANK(CkReg2022[[#This Row],[Withdrawal]]),Q191+CkReg2022[[#This Row],[Deposit]],Q191-CkReg2022[[#This Row],[Withdrawal]])</f>
        <v>13364.79</v>
      </c>
      <c r="R192" s="376">
        <v>1</v>
      </c>
    </row>
    <row r="193" spans="8:18" x14ac:dyDescent="0.3">
      <c r="H193" s="499"/>
      <c r="I193" s="500"/>
      <c r="J193" s="501"/>
      <c r="K193" s="501"/>
      <c r="L193" s="501"/>
      <c r="M193" s="502"/>
      <c r="N193" s="503"/>
      <c r="O193" s="451">
        <f>IF(ISBLANK(CkReg2022[[#This Row],[Withdrawal]]),O192+CkReg2022[[#This Row],[Deposit]],O192-CkReg2022[[#This Row],[Withdrawal]])</f>
        <v>13364.79</v>
      </c>
      <c r="P193" s="504"/>
      <c r="Q193" s="451">
        <f>IF(ISBLANK(CkReg2022[[#This Row],[Withdrawal]]),Q192+CkReg2022[[#This Row],[Deposit]],Q192-CkReg2022[[#This Row],[Withdrawal]])</f>
        <v>13364.79</v>
      </c>
      <c r="R193" s="376">
        <v>1</v>
      </c>
    </row>
    <row r="194" spans="8:18" x14ac:dyDescent="0.3">
      <c r="H194" s="499"/>
      <c r="I194" s="500"/>
      <c r="J194" s="501"/>
      <c r="K194" s="285"/>
      <c r="L194" s="501"/>
      <c r="M194" s="502"/>
      <c r="N194" s="503"/>
      <c r="O194" s="451">
        <f>IF(ISBLANK(CkReg2022[[#This Row],[Withdrawal]]),O193+CkReg2022[[#This Row],[Deposit]],O193-CkReg2022[[#This Row],[Withdrawal]])</f>
        <v>13364.79</v>
      </c>
      <c r="P194" s="504"/>
      <c r="Q194" s="451">
        <f>IF(ISBLANK(CkReg2022[[#This Row],[Withdrawal]]),Q193+CkReg2022[[#This Row],[Deposit]],Q193-CkReg2022[[#This Row],[Withdrawal]])</f>
        <v>13364.79</v>
      </c>
      <c r="R194" s="376">
        <v>1</v>
      </c>
    </row>
    <row r="195" spans="8:18" x14ac:dyDescent="0.3">
      <c r="H195" s="499"/>
      <c r="I195" s="500"/>
      <c r="J195" s="501"/>
      <c r="K195" s="501"/>
      <c r="L195" s="501"/>
      <c r="M195" s="502"/>
      <c r="N195" s="503"/>
      <c r="O195" s="451">
        <f>IF(ISBLANK(CkReg2022[[#This Row],[Withdrawal]]),O194+CkReg2022[[#This Row],[Deposit]],O194-CkReg2022[[#This Row],[Withdrawal]])</f>
        <v>13364.79</v>
      </c>
      <c r="P195" s="504"/>
      <c r="Q195" s="451">
        <f>IF(ISBLANK(CkReg2022[[#This Row],[Withdrawal]]),Q194+CkReg2022[[#This Row],[Deposit]],Q194-CkReg2022[[#This Row],[Withdrawal]])</f>
        <v>13364.79</v>
      </c>
      <c r="R195" s="376">
        <v>1</v>
      </c>
    </row>
    <row r="196" spans="8:18" x14ac:dyDescent="0.3">
      <c r="H196" s="499"/>
      <c r="I196" s="500"/>
      <c r="J196" s="501"/>
      <c r="K196" s="285"/>
      <c r="L196" s="501"/>
      <c r="M196" s="502"/>
      <c r="N196" s="503"/>
      <c r="O196" s="451">
        <f>IF(ISBLANK(CkReg2022[[#This Row],[Withdrawal]]),O195+CkReg2022[[#This Row],[Deposit]],O195-CkReg2022[[#This Row],[Withdrawal]])</f>
        <v>13364.79</v>
      </c>
      <c r="P196" s="504"/>
      <c r="Q196" s="451">
        <f>IF(ISBLANK(CkReg2022[[#This Row],[Withdrawal]]),Q195+CkReg2022[[#This Row],[Deposit]],Q195-CkReg2022[[#This Row],[Withdrawal]])</f>
        <v>13364.79</v>
      </c>
      <c r="R196" s="376">
        <v>1</v>
      </c>
    </row>
    <row r="197" spans="8:18" x14ac:dyDescent="0.3">
      <c r="H197" s="499"/>
      <c r="I197" s="500"/>
      <c r="J197" s="501"/>
      <c r="K197" s="501"/>
      <c r="L197" s="501"/>
      <c r="M197" s="502"/>
      <c r="N197" s="503"/>
      <c r="O197" s="451">
        <f>IF(ISBLANK(CkReg2022[[#This Row],[Withdrawal]]),O196+CkReg2022[[#This Row],[Deposit]],O196-CkReg2022[[#This Row],[Withdrawal]])</f>
        <v>13364.79</v>
      </c>
      <c r="P197" s="504"/>
      <c r="Q197" s="451">
        <f>IF(ISBLANK(CkReg2022[[#This Row],[Withdrawal]]),Q196+CkReg2022[[#This Row],[Deposit]],Q196-CkReg2022[[#This Row],[Withdrawal]])</f>
        <v>13364.79</v>
      </c>
      <c r="R197" s="376">
        <v>1</v>
      </c>
    </row>
    <row r="198" spans="8:18" x14ac:dyDescent="0.3">
      <c r="H198" s="499"/>
      <c r="I198" s="500"/>
      <c r="J198" s="501"/>
      <c r="K198" s="501"/>
      <c r="L198" s="501"/>
      <c r="M198" s="502"/>
      <c r="N198" s="503"/>
      <c r="O198" s="451">
        <f>IF(ISBLANK(CkReg2022[[#This Row],[Withdrawal]]),O197+CkReg2022[[#This Row],[Deposit]],O197-CkReg2022[[#This Row],[Withdrawal]])</f>
        <v>13364.79</v>
      </c>
      <c r="P198" s="504"/>
      <c r="Q198" s="451">
        <f>IF(ISBLANK(CkReg2022[[#This Row],[Withdrawal]]),Q197+CkReg2022[[#This Row],[Deposit]],Q197-CkReg2022[[#This Row],[Withdrawal]])</f>
        <v>13364.79</v>
      </c>
      <c r="R198" s="376">
        <v>1</v>
      </c>
    </row>
    <row r="199" spans="8:18" x14ac:dyDescent="0.3">
      <c r="H199" s="499"/>
      <c r="I199" s="500"/>
      <c r="J199" s="501"/>
      <c r="K199" s="285"/>
      <c r="L199" s="501"/>
      <c r="M199" s="502"/>
      <c r="N199" s="503"/>
      <c r="O199" s="451">
        <f>IF(ISBLANK(CkReg2022[[#This Row],[Withdrawal]]),O198+CkReg2022[[#This Row],[Deposit]],O198-CkReg2022[[#This Row],[Withdrawal]])</f>
        <v>13364.79</v>
      </c>
      <c r="P199" s="504"/>
      <c r="Q199" s="451">
        <f>IF(ISBLANK(CkReg2022[[#This Row],[Withdrawal]]),Q198+CkReg2022[[#This Row],[Deposit]],Q198-CkReg2022[[#This Row],[Withdrawal]])</f>
        <v>13364.79</v>
      </c>
      <c r="R199" s="376">
        <v>1</v>
      </c>
    </row>
    <row r="200" spans="8:18" x14ac:dyDescent="0.3">
      <c r="H200" s="499"/>
      <c r="I200" s="500"/>
      <c r="J200" s="501"/>
      <c r="K200" s="285"/>
      <c r="L200" s="501"/>
      <c r="M200" s="502"/>
      <c r="N200" s="503"/>
      <c r="O200" s="451">
        <f>IF(ISBLANK(CkReg2022[[#This Row],[Withdrawal]]),O199+CkReg2022[[#This Row],[Deposit]],O199-CkReg2022[[#This Row],[Withdrawal]])</f>
        <v>13364.79</v>
      </c>
      <c r="P200" s="504"/>
      <c r="Q200" s="451">
        <f>IF(ISBLANK(CkReg2022[[#This Row],[Withdrawal]]),Q199+CkReg2022[[#This Row],[Deposit]],Q199-CkReg2022[[#This Row],[Withdrawal]])</f>
        <v>13364.79</v>
      </c>
      <c r="R200" s="376">
        <v>1</v>
      </c>
    </row>
    <row r="201" spans="8:18" x14ac:dyDescent="0.3">
      <c r="H201" s="499"/>
      <c r="I201" s="500"/>
      <c r="J201" s="501"/>
      <c r="K201" s="501"/>
      <c r="L201" s="501"/>
      <c r="M201" s="502"/>
      <c r="N201" s="503"/>
      <c r="O201" s="451">
        <f>IF(ISBLANK(CkReg2022[[#This Row],[Withdrawal]]),O200+CkReg2022[[#This Row],[Deposit]],O200-CkReg2022[[#This Row],[Withdrawal]])</f>
        <v>13364.79</v>
      </c>
      <c r="P201" s="504"/>
      <c r="Q201" s="451">
        <f>IF(ISBLANK(CkReg2022[[#This Row],[Withdrawal]]),Q200+CkReg2022[[#This Row],[Deposit]],Q200-CkReg2022[[#This Row],[Withdrawal]])</f>
        <v>13364.79</v>
      </c>
      <c r="R201" s="376">
        <v>1</v>
      </c>
    </row>
    <row r="202" spans="8:18" x14ac:dyDescent="0.3">
      <c r="H202" s="499"/>
      <c r="I202" s="500"/>
      <c r="J202" s="501"/>
      <c r="K202" s="285"/>
      <c r="L202" s="501"/>
      <c r="M202" s="502"/>
      <c r="N202" s="503"/>
      <c r="O202" s="451">
        <f>IF(ISBLANK(CkReg2022[[#This Row],[Withdrawal]]),O201+CkReg2022[[#This Row],[Deposit]],O201-CkReg2022[[#This Row],[Withdrawal]])</f>
        <v>13364.79</v>
      </c>
      <c r="P202" s="504"/>
      <c r="Q202" s="451">
        <f>IF(ISBLANK(CkReg2022[[#This Row],[Withdrawal]]),Q201+CkReg2022[[#This Row],[Deposit]],Q201-CkReg2022[[#This Row],[Withdrawal]])</f>
        <v>13364.79</v>
      </c>
      <c r="R202" s="376">
        <v>1</v>
      </c>
    </row>
    <row r="203" spans="8:18" x14ac:dyDescent="0.3">
      <c r="H203" s="499"/>
      <c r="I203" s="500"/>
      <c r="J203" s="501"/>
      <c r="K203" s="285"/>
      <c r="L203" s="285"/>
      <c r="M203" s="446"/>
      <c r="N203" s="496"/>
      <c r="O203" s="451">
        <f>IF(ISBLANK(CkReg2022[[#This Row],[Withdrawal]]),O202+CkReg2022[[#This Row],[Deposit]],O202-CkReg2022[[#This Row],[Withdrawal]])</f>
        <v>13364.79</v>
      </c>
      <c r="P203" s="376"/>
      <c r="Q203" s="451">
        <f>IF(ISBLANK(CkReg2022[[#This Row],[Withdrawal]]),Q202+CkReg2022[[#This Row],[Deposit]],Q202-CkReg2022[[#This Row],[Withdrawal]])</f>
        <v>13364.79</v>
      </c>
      <c r="R203" s="376">
        <v>1</v>
      </c>
    </row>
    <row r="204" spans="8:18" x14ac:dyDescent="0.3">
      <c r="H204" s="499"/>
      <c r="I204" s="500"/>
      <c r="J204" s="501"/>
      <c r="K204" s="501"/>
      <c r="L204" s="501"/>
      <c r="M204" s="502"/>
      <c r="N204" s="503"/>
      <c r="O204" s="451">
        <f>IF(ISBLANK(CkReg2022[[#This Row],[Withdrawal]]),O203+CkReg2022[[#This Row],[Deposit]],O203-CkReg2022[[#This Row],[Withdrawal]])</f>
        <v>13364.79</v>
      </c>
      <c r="P204" s="504"/>
      <c r="Q204" s="451">
        <f>IF(ISBLANK(CkReg2022[[#This Row],[Withdrawal]]),Q203+CkReg2022[[#This Row],[Deposit]],Q203-CkReg2022[[#This Row],[Withdrawal]])</f>
        <v>13364.79</v>
      </c>
      <c r="R204" s="376">
        <v>1</v>
      </c>
    </row>
    <row r="205" spans="8:18" x14ac:dyDescent="0.3">
      <c r="H205" s="499"/>
      <c r="I205" s="500"/>
      <c r="J205" s="501"/>
      <c r="K205" s="501"/>
      <c r="L205" s="501"/>
      <c r="M205" s="502"/>
      <c r="N205" s="503"/>
      <c r="O205" s="451">
        <f>IF(ISBLANK(CkReg2022[[#This Row],[Withdrawal]]),O204+CkReg2022[[#This Row],[Deposit]],O204-CkReg2022[[#This Row],[Withdrawal]])</f>
        <v>13364.79</v>
      </c>
      <c r="P205" s="504"/>
      <c r="Q205" s="451">
        <f>IF(ISBLANK(CkReg2022[[#This Row],[Withdrawal]]),Q204+CkReg2022[[#This Row],[Deposit]],Q204-CkReg2022[[#This Row],[Withdrawal]])</f>
        <v>13364.79</v>
      </c>
      <c r="R205" s="376">
        <v>1</v>
      </c>
    </row>
    <row r="206" spans="8:18" x14ac:dyDescent="0.3">
      <c r="H206" s="499"/>
      <c r="I206" s="500"/>
      <c r="J206" s="501"/>
      <c r="K206" s="501"/>
      <c r="L206" s="501"/>
      <c r="M206" s="502"/>
      <c r="N206" s="503"/>
      <c r="O206" s="451">
        <f>IF(ISBLANK(CkReg2022[[#This Row],[Withdrawal]]),O205+CkReg2022[[#This Row],[Deposit]],O205-CkReg2022[[#This Row],[Withdrawal]])</f>
        <v>13364.79</v>
      </c>
      <c r="P206" s="504"/>
      <c r="Q206" s="451">
        <f>IF(ISBLANK(CkReg2022[[#This Row],[Withdrawal]]),Q205+CkReg2022[[#This Row],[Deposit]],Q205-CkReg2022[[#This Row],[Withdrawal]])</f>
        <v>13364.79</v>
      </c>
      <c r="R206" s="376">
        <v>1</v>
      </c>
    </row>
    <row r="207" spans="8:18" x14ac:dyDescent="0.3">
      <c r="H207" s="499"/>
      <c r="I207" s="500"/>
      <c r="J207" s="285"/>
      <c r="K207" s="285"/>
      <c r="L207" s="285"/>
      <c r="M207" s="502"/>
      <c r="N207" s="503"/>
      <c r="O207" s="451">
        <f>IF(ISBLANK(CkReg2022[[#This Row],[Withdrawal]]),O206+CkReg2022[[#This Row],[Deposit]],O206-CkReg2022[[#This Row],[Withdrawal]])</f>
        <v>13364.79</v>
      </c>
      <c r="P207" s="504"/>
      <c r="Q207" s="451">
        <f>IF(ISBLANK(CkReg2022[[#This Row],[Withdrawal]]),Q206+CkReg2022[[#This Row],[Deposit]],Q206-CkReg2022[[#This Row],[Withdrawal]])</f>
        <v>13364.79</v>
      </c>
      <c r="R207" s="376">
        <v>1</v>
      </c>
    </row>
    <row r="208" spans="8:18" x14ac:dyDescent="0.3">
      <c r="H208" s="499"/>
      <c r="I208" s="500"/>
      <c r="J208" s="285"/>
      <c r="K208" s="285"/>
      <c r="L208" s="285"/>
      <c r="M208" s="502"/>
      <c r="N208" s="503"/>
      <c r="O208" s="451">
        <f>IF(ISBLANK(CkReg2022[[#This Row],[Withdrawal]]),O207+CkReg2022[[#This Row],[Deposit]],O207-CkReg2022[[#This Row],[Withdrawal]])</f>
        <v>13364.79</v>
      </c>
      <c r="P208" s="504"/>
      <c r="Q208" s="451">
        <f>IF(ISBLANK(CkReg2022[[#This Row],[Withdrawal]]),Q207+CkReg2022[[#This Row],[Deposit]],Q207-CkReg2022[[#This Row],[Withdrawal]])</f>
        <v>13364.79</v>
      </c>
      <c r="R208" s="376">
        <v>1</v>
      </c>
    </row>
    <row r="209" spans="8:20" x14ac:dyDescent="0.3">
      <c r="H209" s="499"/>
      <c r="I209" s="500"/>
      <c r="J209" s="285"/>
      <c r="K209" s="285"/>
      <c r="L209" s="285"/>
      <c r="M209" s="446"/>
      <c r="N209" s="503"/>
      <c r="O209" s="451">
        <f>IF(ISBLANK(CkReg2022[[#This Row],[Withdrawal]]),O208+CkReg2022[[#This Row],[Deposit]],O208-CkReg2022[[#This Row],[Withdrawal]])</f>
        <v>13364.79</v>
      </c>
      <c r="P209" s="504"/>
      <c r="Q209" s="451">
        <f>IF(ISBLANK(CkReg2022[[#This Row],[Withdrawal]]),Q208+CkReg2022[[#This Row],[Deposit]],Q208-CkReg2022[[#This Row],[Withdrawal]])</f>
        <v>13364.79</v>
      </c>
      <c r="R209" s="376">
        <v>1</v>
      </c>
    </row>
    <row r="210" spans="8:20" x14ac:dyDescent="0.3">
      <c r="H210" s="499"/>
      <c r="I210" s="500"/>
      <c r="J210" s="285"/>
      <c r="K210" s="285"/>
      <c r="L210" s="285"/>
      <c r="M210" s="446"/>
      <c r="N210" s="503"/>
      <c r="O210" s="451">
        <f>IF(ISBLANK(CkReg2022[[#This Row],[Withdrawal]]),O209+CkReg2022[[#This Row],[Deposit]],O209-CkReg2022[[#This Row],[Withdrawal]])</f>
        <v>13364.79</v>
      </c>
      <c r="P210" s="504"/>
      <c r="Q210" s="451">
        <f>IF(ISBLANK(CkReg2022[[#This Row],[Withdrawal]]),Q209+CkReg2022[[#This Row],[Deposit]],Q209-CkReg2022[[#This Row],[Withdrawal]])</f>
        <v>13364.79</v>
      </c>
      <c r="R210" s="376">
        <v>1</v>
      </c>
    </row>
    <row r="211" spans="8:20" x14ac:dyDescent="0.3">
      <c r="H211" s="499"/>
      <c r="I211" s="500"/>
      <c r="J211" s="501"/>
      <c r="K211" s="501"/>
      <c r="L211" s="501"/>
      <c r="M211" s="502"/>
      <c r="N211" s="503"/>
      <c r="O211" s="451">
        <f>IF(ISBLANK(CkReg2022[[#This Row],[Withdrawal]]),O210+CkReg2022[[#This Row],[Deposit]],O210-CkReg2022[[#This Row],[Withdrawal]])</f>
        <v>13364.79</v>
      </c>
      <c r="P211" s="504"/>
      <c r="Q211" s="451">
        <f>IF(ISBLANK(CkReg2022[[#This Row],[Withdrawal]]),Q210+CkReg2022[[#This Row],[Deposit]],Q210-CkReg2022[[#This Row],[Withdrawal]])</f>
        <v>13364.79</v>
      </c>
      <c r="R211" s="376">
        <v>1</v>
      </c>
    </row>
    <row r="212" spans="8:20" x14ac:dyDescent="0.3">
      <c r="H212" s="536"/>
      <c r="I212" s="537"/>
      <c r="J212" s="538"/>
      <c r="K212" s="538"/>
      <c r="L212" s="538"/>
      <c r="M212" s="539"/>
      <c r="N212" s="540"/>
      <c r="O212" s="451">
        <f>IF(ISBLANK(CkReg2022[[#This Row],[Withdrawal]]),O211+CkReg2022[[#This Row],[Deposit]],O211-CkReg2022[[#This Row],[Withdrawal]])</f>
        <v>13364.79</v>
      </c>
      <c r="P212" s="504"/>
      <c r="Q212" s="451">
        <f>IF(ISBLANK(CkReg2022[[#This Row],[Withdrawal]]),Q211+CkReg2022[[#This Row],[Deposit]],Q211-CkReg2022[[#This Row],[Withdrawal]])</f>
        <v>13364.79</v>
      </c>
      <c r="R212" s="376">
        <v>1</v>
      </c>
    </row>
    <row r="213" spans="8:20" x14ac:dyDescent="0.3">
      <c r="H213" s="499"/>
      <c r="I213" s="500"/>
      <c r="J213" s="285"/>
      <c r="K213" s="285"/>
      <c r="L213" s="285"/>
      <c r="M213" s="502"/>
      <c r="N213" s="503"/>
      <c r="O213" s="451">
        <f>IF(ISBLANK(CkReg2022[[#This Row],[Withdrawal]]),O212+CkReg2022[[#This Row],[Deposit]],O212-CkReg2022[[#This Row],[Withdrawal]])</f>
        <v>13364.79</v>
      </c>
      <c r="P213" s="504"/>
      <c r="Q213" s="451">
        <f>IF(ISBLANK(CkReg2022[[#This Row],[Withdrawal]]),Q212+CkReg2022[[#This Row],[Deposit]],Q212-CkReg2022[[#This Row],[Withdrawal]])</f>
        <v>13364.79</v>
      </c>
      <c r="R213" s="376">
        <v>1</v>
      </c>
      <c r="T213" s="542"/>
    </row>
    <row r="214" spans="8:20" x14ac:dyDescent="0.3">
      <c r="H214" s="286"/>
      <c r="I214" s="500"/>
      <c r="J214" s="285"/>
      <c r="K214" s="285"/>
      <c r="L214" s="285"/>
      <c r="M214" s="446"/>
      <c r="N214" s="496"/>
      <c r="O214" s="451">
        <f>IF(ISBLANK(CkReg2022[[#This Row],[Withdrawal]]),O213+CkReg2022[[#This Row],[Deposit]],O213-CkReg2022[[#This Row],[Withdrawal]])</f>
        <v>13364.79</v>
      </c>
      <c r="P214" s="504"/>
      <c r="Q214" s="451">
        <f>IF(ISBLANK(CkReg2022[[#This Row],[Withdrawal]]),Q213+CkReg2022[[#This Row],[Deposit]],Q213-CkReg2022[[#This Row],[Withdrawal]])</f>
        <v>13364.79</v>
      </c>
      <c r="R214" s="376">
        <v>1</v>
      </c>
    </row>
    <row r="215" spans="8:20" x14ac:dyDescent="0.3">
      <c r="H215" s="499"/>
      <c r="I215" s="500"/>
      <c r="J215" s="501"/>
      <c r="K215" s="501"/>
      <c r="L215" s="501"/>
      <c r="M215" s="502"/>
      <c r="N215" s="503"/>
      <c r="O215" s="451">
        <f>IF(ISBLANK(CkReg2022[[#This Row],[Withdrawal]]),O214+CkReg2022[[#This Row],[Deposit]],O214-CkReg2022[[#This Row],[Withdrawal]])</f>
        <v>13364.79</v>
      </c>
      <c r="P215" s="504"/>
      <c r="Q215" s="451">
        <f>IF(ISBLANK(CkReg2022[[#This Row],[Withdrawal]]),Q214+CkReg2022[[#This Row],[Deposit]],Q214-CkReg2022[[#This Row],[Withdrawal]])</f>
        <v>13364.79</v>
      </c>
      <c r="R215" s="376">
        <v>1</v>
      </c>
    </row>
    <row r="216" spans="8:20" x14ac:dyDescent="0.3">
      <c r="H216" s="499"/>
      <c r="I216" s="500"/>
      <c r="J216" s="285"/>
      <c r="K216" s="285"/>
      <c r="L216" s="285"/>
      <c r="M216" s="446"/>
      <c r="N216" s="496"/>
      <c r="O216" s="451">
        <f>IF(ISBLANK(CkReg2022[[#This Row],[Withdrawal]]),O215+CkReg2022[[#This Row],[Deposit]],O215-CkReg2022[[#This Row],[Withdrawal]])</f>
        <v>13364.79</v>
      </c>
      <c r="P216" s="376"/>
      <c r="Q216" s="451">
        <f>IF(ISBLANK(CkReg2022[[#This Row],[Withdrawal]]),Q215+CkReg2022[[#This Row],[Deposit]],Q215-CkReg2022[[#This Row],[Withdrawal]])</f>
        <v>13364.79</v>
      </c>
      <c r="R216" s="376">
        <v>1</v>
      </c>
    </row>
    <row r="217" spans="8:20" x14ac:dyDescent="0.3">
      <c r="H217" s="499"/>
      <c r="I217" s="500"/>
      <c r="J217" s="285"/>
      <c r="K217" s="285"/>
      <c r="L217" s="285"/>
      <c r="M217" s="446"/>
      <c r="N217" s="496"/>
      <c r="O217" s="451">
        <f>IF(ISBLANK(CkReg2022[[#This Row],[Withdrawal]]),O216+CkReg2022[[#This Row],[Deposit]],O216-CkReg2022[[#This Row],[Withdrawal]])</f>
        <v>13364.79</v>
      </c>
      <c r="P217" s="376"/>
      <c r="Q217" s="451">
        <f>IF(ISBLANK(CkReg2022[[#This Row],[Withdrawal]]),Q216+CkReg2022[[#This Row],[Deposit]],Q216-CkReg2022[[#This Row],[Withdrawal]])</f>
        <v>13364.79</v>
      </c>
      <c r="R217" s="376">
        <v>1</v>
      </c>
    </row>
    <row r="218" spans="8:20" x14ac:dyDescent="0.3">
      <c r="H218" s="499"/>
      <c r="I218" s="500"/>
      <c r="J218" s="285"/>
      <c r="K218" s="285"/>
      <c r="L218" s="285"/>
      <c r="M218" s="502"/>
      <c r="N218" s="503"/>
      <c r="O218" s="451">
        <f>IF(ISBLANK(CkReg2022[[#This Row],[Withdrawal]]),O217+CkReg2022[[#This Row],[Deposit]],O217-CkReg2022[[#This Row],[Withdrawal]])</f>
        <v>13364.79</v>
      </c>
      <c r="P218" s="504"/>
      <c r="Q218" s="451">
        <f>IF(ISBLANK(CkReg2022[[#This Row],[Withdrawal]]),Q217+CkReg2022[[#This Row],[Deposit]],Q217-CkReg2022[[#This Row],[Withdrawal]])</f>
        <v>13364.79</v>
      </c>
      <c r="R218" s="376">
        <v>1</v>
      </c>
    </row>
    <row r="219" spans="8:20" x14ac:dyDescent="0.3">
      <c r="H219" s="499"/>
      <c r="I219" s="500"/>
      <c r="J219" s="285"/>
      <c r="K219" s="285"/>
      <c r="L219" s="285"/>
      <c r="M219" s="502"/>
      <c r="N219" s="503"/>
      <c r="O219" s="451">
        <f>IF(ISBLANK(CkReg2022[[#This Row],[Withdrawal]]),O218+CkReg2022[[#This Row],[Deposit]],O218-CkReg2022[[#This Row],[Withdrawal]])</f>
        <v>13364.79</v>
      </c>
      <c r="P219" s="504"/>
      <c r="Q219" s="451">
        <f>IF(ISBLANK(CkReg2022[[#This Row],[Withdrawal]]),Q218+CkReg2022[[#This Row],[Deposit]],Q218-CkReg2022[[#This Row],[Withdrawal]])</f>
        <v>13364.79</v>
      </c>
      <c r="R219" s="376">
        <v>1</v>
      </c>
    </row>
    <row r="220" spans="8:20" x14ac:dyDescent="0.3">
      <c r="H220" s="499"/>
      <c r="I220" s="383"/>
      <c r="J220" s="285"/>
      <c r="K220" s="501"/>
      <c r="L220" s="285"/>
      <c r="M220" s="502"/>
      <c r="N220" s="503"/>
      <c r="O220" s="451">
        <f>IF(ISBLANK(CkReg2022[[#This Row],[Withdrawal]]),O219+CkReg2022[[#This Row],[Deposit]],O219-CkReg2022[[#This Row],[Withdrawal]])</f>
        <v>13364.79</v>
      </c>
      <c r="P220" s="504"/>
      <c r="Q220" s="451">
        <f>IF(ISBLANK(CkReg2022[[#This Row],[Withdrawal]]),Q219+CkReg2022[[#This Row],[Deposit]],Q219-CkReg2022[[#This Row],[Withdrawal]])</f>
        <v>13364.79</v>
      </c>
      <c r="R220" s="376">
        <v>1</v>
      </c>
    </row>
    <row r="221" spans="8:20" ht="17.399999999999999" customHeight="1" x14ac:dyDescent="0.3">
      <c r="H221" s="499"/>
      <c r="I221" s="383"/>
      <c r="J221" s="285"/>
      <c r="K221" s="285"/>
      <c r="L221" s="285"/>
      <c r="M221" s="502"/>
      <c r="N221" s="503"/>
      <c r="O221" s="451">
        <f>IF(ISBLANK(CkReg2022[[#This Row],[Withdrawal]]),O220+CkReg2022[[#This Row],[Deposit]],O220-CkReg2022[[#This Row],[Withdrawal]])</f>
        <v>13364.79</v>
      </c>
      <c r="P221" s="504"/>
      <c r="Q221" s="451">
        <f>IF(ISBLANK(CkReg2022[[#This Row],[Withdrawal]]),Q220+CkReg2022[[#This Row],[Deposit]],Q220-CkReg2022[[#This Row],[Withdrawal]])</f>
        <v>13364.79</v>
      </c>
      <c r="R221" s="376">
        <v>1</v>
      </c>
    </row>
    <row r="222" spans="8:20" hidden="1" x14ac:dyDescent="0.3">
      <c r="H222" s="499"/>
      <c r="I222" s="383"/>
      <c r="J222" s="285"/>
      <c r="K222" s="285"/>
      <c r="L222" s="285"/>
      <c r="M222" s="502"/>
      <c r="N222" s="503"/>
      <c r="O222" s="451">
        <f>IF(ISBLANK(CkReg2022[[#This Row],[Withdrawal]]),O221+CkReg2022[[#This Row],[Deposit]],O221-CkReg2022[[#This Row],[Withdrawal]])</f>
        <v>13364.79</v>
      </c>
      <c r="P222" s="504"/>
      <c r="Q222" s="451">
        <f>IF(ISBLANK(CkReg2022[[#This Row],[Withdrawal]]),Q221+CkReg2022[[#This Row],[Deposit]],Q221-CkReg2022[[#This Row],[Withdrawal]])</f>
        <v>13364.79</v>
      </c>
      <c r="R222" s="376">
        <v>1</v>
      </c>
    </row>
    <row r="223" spans="8:20" x14ac:dyDescent="0.3">
      <c r="H223" s="499"/>
      <c r="I223" s="537"/>
      <c r="J223" s="285"/>
      <c r="K223" s="538"/>
      <c r="L223" s="538"/>
      <c r="M223" s="539"/>
      <c r="N223" s="540"/>
      <c r="O223" s="451">
        <f>IF(ISBLANK(CkReg2022[[#This Row],[Withdrawal]]),O222+CkReg2022[[#This Row],[Deposit]],O222-CkReg2022[[#This Row],[Withdrawal]])</f>
        <v>13364.79</v>
      </c>
      <c r="P223" s="541"/>
      <c r="Q223" s="451">
        <f>IF(ISBLANK(CkReg2022[[#This Row],[Withdrawal]]),Q222+CkReg2022[[#This Row],[Deposit]],Q222-CkReg2022[[#This Row],[Withdrawal]])</f>
        <v>13364.79</v>
      </c>
      <c r="R223" s="376">
        <v>1</v>
      </c>
    </row>
    <row r="224" spans="8:20" x14ac:dyDescent="0.3">
      <c r="H224" s="499"/>
      <c r="I224" s="537"/>
      <c r="J224" s="285"/>
      <c r="K224" s="538"/>
      <c r="L224" s="538"/>
      <c r="M224" s="539"/>
      <c r="N224" s="540"/>
      <c r="O224" s="451">
        <f>IF(ISBLANK(CkReg2022[[#This Row],[Withdrawal]]),O223+CkReg2022[[#This Row],[Deposit]],O223-CkReg2022[[#This Row],[Withdrawal]])</f>
        <v>13364.79</v>
      </c>
      <c r="P224" s="541"/>
      <c r="Q224" s="451">
        <f>IF(ISBLANK(CkReg2022[[#This Row],[Withdrawal]]),Q223+CkReg2022[[#This Row],[Deposit]],Q223-CkReg2022[[#This Row],[Withdrawal]])</f>
        <v>13364.79</v>
      </c>
      <c r="R224" s="376">
        <v>1</v>
      </c>
    </row>
    <row r="225" spans="8:18" x14ac:dyDescent="0.3">
      <c r="H225" s="499"/>
      <c r="I225" s="500"/>
      <c r="J225" s="285"/>
      <c r="K225" s="285"/>
      <c r="L225" s="285"/>
      <c r="M225" s="502"/>
      <c r="N225" s="503"/>
      <c r="O225" s="451">
        <f>IF(ISBLANK(CkReg2022[[#This Row],[Withdrawal]]),O224+CkReg2022[[#This Row],[Deposit]],O224-CkReg2022[[#This Row],[Withdrawal]])</f>
        <v>13364.79</v>
      </c>
      <c r="P225" s="504"/>
      <c r="Q225" s="451">
        <f>IF(ISBLANK(CkReg2022[[#This Row],[Withdrawal]]),Q224+CkReg2022[[#This Row],[Deposit]],Q224-CkReg2022[[#This Row],[Withdrawal]])</f>
        <v>13364.79</v>
      </c>
      <c r="R225" s="376">
        <v>1</v>
      </c>
    </row>
    <row r="226" spans="8:18" x14ac:dyDescent="0.3">
      <c r="H226" s="499"/>
      <c r="I226" s="526"/>
      <c r="J226" s="527"/>
      <c r="K226" s="285"/>
      <c r="L226" s="285"/>
      <c r="M226" s="528"/>
      <c r="N226" s="529"/>
      <c r="O226" s="451">
        <f>IF(ISBLANK(CkReg2022[[#This Row],[Withdrawal]]),O225+CkReg2022[[#This Row],[Deposit]],O225-CkReg2022[[#This Row],[Withdrawal]])</f>
        <v>13364.79</v>
      </c>
      <c r="P226" s="504"/>
      <c r="Q226" s="451">
        <f>IF(ISBLANK(CkReg2022[[#This Row],[Withdrawal]]),Q225+CkReg2022[[#This Row],[Deposit]],Q225-CkReg2022[[#This Row],[Withdrawal]])</f>
        <v>13364.79</v>
      </c>
      <c r="R226" s="376">
        <v>1</v>
      </c>
    </row>
    <row r="227" spans="8:18" x14ac:dyDescent="0.3">
      <c r="H227" s="499"/>
      <c r="I227" s="526"/>
      <c r="J227" s="527"/>
      <c r="K227" s="285"/>
      <c r="L227" s="285"/>
      <c r="M227" s="528"/>
      <c r="N227" s="529"/>
      <c r="O227" s="451">
        <f>IF(ISBLANK(CkReg2022[[#This Row],[Withdrawal]]),O226+CkReg2022[[#This Row],[Deposit]],O226-CkReg2022[[#This Row],[Withdrawal]])</f>
        <v>13364.79</v>
      </c>
      <c r="P227" s="504"/>
      <c r="Q227" s="451">
        <f>IF(ISBLANK(CkReg2022[[#This Row],[Withdrawal]]),Q226+CkReg2022[[#This Row],[Deposit]],Q226-CkReg2022[[#This Row],[Withdrawal]])</f>
        <v>13364.79</v>
      </c>
      <c r="R227" s="376">
        <v>1</v>
      </c>
    </row>
    <row r="228" spans="8:18" x14ac:dyDescent="0.3">
      <c r="H228" s="499"/>
      <c r="I228" s="500"/>
      <c r="J228" s="285"/>
      <c r="K228" s="285"/>
      <c r="L228" s="501"/>
      <c r="M228" s="502"/>
      <c r="N228" s="503"/>
      <c r="O228" s="451">
        <f>IF(ISBLANK(CkReg2022[[#This Row],[Withdrawal]]),O227+CkReg2022[[#This Row],[Deposit]],O227-CkReg2022[[#This Row],[Withdrawal]])</f>
        <v>13364.79</v>
      </c>
      <c r="P228" s="504"/>
      <c r="Q228" s="451">
        <f>IF(ISBLANK(CkReg2022[[#This Row],[Withdrawal]]),Q227+CkReg2022[[#This Row],[Deposit]],Q227-CkReg2022[[#This Row],[Withdrawal]])</f>
        <v>13364.79</v>
      </c>
      <c r="R228" s="376">
        <v>1</v>
      </c>
    </row>
    <row r="229" spans="8:18" x14ac:dyDescent="0.3">
      <c r="H229" s="499"/>
      <c r="I229" s="500"/>
      <c r="J229" s="285"/>
      <c r="K229" s="285"/>
      <c r="L229" s="501"/>
      <c r="M229" s="502"/>
      <c r="N229" s="503"/>
      <c r="O229" s="451">
        <f>IF(ISBLANK(CkReg2022[[#This Row],[Withdrawal]]),O228+CkReg2022[[#This Row],[Deposit]],O228-CkReg2022[[#This Row],[Withdrawal]])</f>
        <v>13364.79</v>
      </c>
      <c r="P229" s="504"/>
      <c r="Q229" s="451">
        <f>IF(ISBLANK(CkReg2022[[#This Row],[Withdrawal]]),Q228+CkReg2022[[#This Row],[Deposit]],Q228-CkReg2022[[#This Row],[Withdrawal]])</f>
        <v>13364.79</v>
      </c>
      <c r="R229" s="376">
        <v>1</v>
      </c>
    </row>
    <row r="230" spans="8:18" x14ac:dyDescent="0.3">
      <c r="H230" s="499"/>
      <c r="I230" s="500"/>
      <c r="J230" s="285"/>
      <c r="K230" s="285"/>
      <c r="L230" s="501"/>
      <c r="M230" s="502"/>
      <c r="N230" s="503"/>
      <c r="O230" s="451">
        <f>IF(ISBLANK(CkReg2022[[#This Row],[Withdrawal]]),O229+CkReg2022[[#This Row],[Deposit]],O229-CkReg2022[[#This Row],[Withdrawal]])</f>
        <v>13364.79</v>
      </c>
      <c r="P230" s="504"/>
      <c r="Q230" s="451">
        <f>IF(ISBLANK(CkReg2022[[#This Row],[Withdrawal]]),Q229+CkReg2022[[#This Row],[Deposit]],Q229-CkReg2022[[#This Row],[Withdrawal]])</f>
        <v>13364.79</v>
      </c>
      <c r="R230" s="376">
        <v>1</v>
      </c>
    </row>
    <row r="231" spans="8:18" x14ac:dyDescent="0.3">
      <c r="H231" s="499"/>
      <c r="I231" s="500"/>
      <c r="J231" s="285"/>
      <c r="K231" s="285"/>
      <c r="L231" s="285"/>
      <c r="M231" s="502"/>
      <c r="N231" s="503"/>
      <c r="O231" s="451">
        <f>IF(ISBLANK(CkReg2022[[#This Row],[Withdrawal]]),O230+CkReg2022[[#This Row],[Deposit]],O230-CkReg2022[[#This Row],[Withdrawal]])</f>
        <v>13364.79</v>
      </c>
      <c r="P231" s="504"/>
      <c r="Q231" s="451">
        <f>IF(ISBLANK(CkReg2022[[#This Row],[Withdrawal]]),Q230+CkReg2022[[#This Row],[Deposit]],Q230-CkReg2022[[#This Row],[Withdrawal]])</f>
        <v>13364.79</v>
      </c>
      <c r="R231" s="376">
        <v>1</v>
      </c>
    </row>
    <row r="232" spans="8:18" x14ac:dyDescent="0.3">
      <c r="H232" s="536"/>
      <c r="I232" s="537"/>
      <c r="J232" s="538"/>
      <c r="K232" s="538"/>
      <c r="L232" s="538"/>
      <c r="M232" s="539"/>
      <c r="N232" s="540"/>
      <c r="O232" s="451">
        <f>IF(ISBLANK(CkReg2022[[#This Row],[Withdrawal]]),O231+CkReg2022[[#This Row],[Deposit]],O231-CkReg2022[[#This Row],[Withdrawal]])</f>
        <v>13364.79</v>
      </c>
      <c r="P232" s="541"/>
      <c r="Q232" s="451">
        <f>IF(ISBLANK(CkReg2022[[#This Row],[Withdrawal]]),Q231+CkReg2022[[#This Row],[Deposit]],Q231-CkReg2022[[#This Row],[Withdrawal]])</f>
        <v>13364.79</v>
      </c>
      <c r="R232" s="376">
        <v>1</v>
      </c>
    </row>
    <row r="233" spans="8:18" x14ac:dyDescent="0.3">
      <c r="H233" s="499"/>
      <c r="I233" s="531"/>
      <c r="J233" s="532"/>
      <c r="K233" s="460"/>
      <c r="L233" s="460"/>
      <c r="M233" s="533"/>
      <c r="N233" s="534"/>
      <c r="O233" s="451">
        <f>IF(ISBLANK(CkReg2022[[#This Row],[Withdrawal]]),O232+CkReg2022[[#This Row],[Deposit]],O232-CkReg2022[[#This Row],[Withdrawal]])</f>
        <v>13364.79</v>
      </c>
      <c r="P233" s="504"/>
      <c r="Q233" s="451">
        <f>IF(ISBLANK(CkReg2022[[#This Row],[Withdrawal]]),Q232+CkReg2022[[#This Row],[Deposit]],Q232-CkReg2022[[#This Row],[Withdrawal]])</f>
        <v>13364.79</v>
      </c>
      <c r="R233" s="376">
        <v>1</v>
      </c>
    </row>
    <row r="234" spans="8:18" x14ac:dyDescent="0.3">
      <c r="H234" s="499"/>
      <c r="I234" s="526"/>
      <c r="J234" s="527"/>
      <c r="K234" s="527"/>
      <c r="L234" s="527"/>
      <c r="M234" s="528"/>
      <c r="N234" s="529"/>
      <c r="O234" s="451">
        <f>IF(ISBLANK(CkReg2022[[#This Row],[Withdrawal]]),O233+CkReg2022[[#This Row],[Deposit]],O233-CkReg2022[[#This Row],[Withdrawal]])</f>
        <v>13364.79</v>
      </c>
      <c r="P234" s="504"/>
      <c r="Q234" s="451">
        <f>IF(ISBLANK(CkReg2022[[#This Row],[Withdrawal]]),Q233+CkReg2022[[#This Row],[Deposit]],Q233-CkReg2022[[#This Row],[Withdrawal]])</f>
        <v>13364.79</v>
      </c>
      <c r="R234" s="376">
        <v>1</v>
      </c>
    </row>
    <row r="235" spans="8:18" x14ac:dyDescent="0.3">
      <c r="H235" s="286"/>
      <c r="I235" s="526"/>
      <c r="J235" s="285"/>
      <c r="K235" s="285"/>
      <c r="L235" s="285"/>
      <c r="M235" s="446"/>
      <c r="N235" s="496"/>
      <c r="O235" s="451">
        <f>IF(ISBLANK(CkReg2022[[#This Row],[Withdrawal]]),O234+CkReg2022[[#This Row],[Deposit]],O234-CkReg2022[[#This Row],[Withdrawal]])</f>
        <v>13364.79</v>
      </c>
      <c r="P235" s="376"/>
      <c r="Q235" s="451">
        <f>IF(ISBLANK(CkReg2022[[#This Row],[Withdrawal]]),Q234+CkReg2022[[#This Row],[Deposit]],Q234-CkReg2022[[#This Row],[Withdrawal]])</f>
        <v>13364.79</v>
      </c>
      <c r="R235" s="376">
        <v>1</v>
      </c>
    </row>
    <row r="236" spans="8:18" x14ac:dyDescent="0.3">
      <c r="H236" s="286"/>
      <c r="I236" s="526"/>
      <c r="J236" s="285"/>
      <c r="K236" s="285"/>
      <c r="L236" s="285"/>
      <c r="M236" s="446"/>
      <c r="N236" s="496"/>
      <c r="O236" s="451">
        <f>IF(ISBLANK(CkReg2022[[#This Row],[Withdrawal]]),O235+CkReg2022[[#This Row],[Deposit]],O235-CkReg2022[[#This Row],[Withdrawal]])</f>
        <v>13364.79</v>
      </c>
      <c r="P236" s="376"/>
      <c r="Q236" s="451">
        <f>IF(ISBLANK(CkReg2022[[#This Row],[Withdrawal]]),Q235+CkReg2022[[#This Row],[Deposit]],Q235-CkReg2022[[#This Row],[Withdrawal]])</f>
        <v>13364.79</v>
      </c>
      <c r="R236" s="376">
        <v>1</v>
      </c>
    </row>
    <row r="237" spans="8:18" x14ac:dyDescent="0.3">
      <c r="H237" s="536"/>
      <c r="I237" s="537"/>
      <c r="J237" s="538"/>
      <c r="K237" s="538"/>
      <c r="L237" s="538"/>
      <c r="M237" s="539"/>
      <c r="N237" s="540"/>
      <c r="O237" s="451">
        <f>IF(ISBLANK(CkReg2022[[#This Row],[Withdrawal]]),O236+CkReg2022[[#This Row],[Deposit]],O236-CkReg2022[[#This Row],[Withdrawal]])</f>
        <v>13364.79</v>
      </c>
      <c r="P237" s="541"/>
      <c r="Q237" s="451">
        <f>IF(ISBLANK(CkReg2022[[#This Row],[Withdrawal]]),Q236+CkReg2022[[#This Row],[Deposit]],Q236-CkReg2022[[#This Row],[Withdrawal]])</f>
        <v>13364.79</v>
      </c>
      <c r="R237" s="376">
        <v>1</v>
      </c>
    </row>
    <row r="238" spans="8:18" x14ac:dyDescent="0.3">
      <c r="H238" s="536"/>
      <c r="I238" s="537"/>
      <c r="J238" s="538"/>
      <c r="K238" s="538"/>
      <c r="L238" s="538"/>
      <c r="M238" s="539"/>
      <c r="N238" s="540"/>
      <c r="O238" s="451">
        <f>IF(ISBLANK(CkReg2022[[#This Row],[Withdrawal]]),O237+CkReg2022[[#This Row],[Deposit]],O237-CkReg2022[[#This Row],[Withdrawal]])</f>
        <v>13364.79</v>
      </c>
      <c r="P238" s="541"/>
      <c r="Q238" s="451">
        <f>IF(ISBLANK(CkReg2022[[#This Row],[Withdrawal]]),Q237+CkReg2022[[#This Row],[Deposit]],Q237-CkReg2022[[#This Row],[Withdrawal]])</f>
        <v>13364.79</v>
      </c>
      <c r="R238" s="376">
        <v>1</v>
      </c>
    </row>
    <row r="239" spans="8:18" x14ac:dyDescent="0.3">
      <c r="H239" s="499"/>
      <c r="I239" s="500"/>
      <c r="J239" s="501"/>
      <c r="K239" s="285"/>
      <c r="L239" s="285"/>
      <c r="M239" s="502"/>
      <c r="N239" s="503"/>
      <c r="O239" s="451">
        <f>IF(ISBLANK(CkReg2022[[#This Row],[Withdrawal]]),O238+CkReg2022[[#This Row],[Deposit]],O238-CkReg2022[[#This Row],[Withdrawal]])</f>
        <v>13364.79</v>
      </c>
      <c r="P239" s="504"/>
      <c r="Q239" s="451">
        <f>IF(ISBLANK(CkReg2022[[#This Row],[Withdrawal]]),Q238+CkReg2022[[#This Row],[Deposit]],Q238-CkReg2022[[#This Row],[Withdrawal]])</f>
        <v>13364.79</v>
      </c>
      <c r="R239" s="376">
        <v>1</v>
      </c>
    </row>
    <row r="240" spans="8:18" x14ac:dyDescent="0.3">
      <c r="H240" s="499"/>
      <c r="I240" s="500"/>
      <c r="J240" s="501"/>
      <c r="K240" s="501"/>
      <c r="L240" s="501"/>
      <c r="M240" s="502"/>
      <c r="N240" s="503"/>
      <c r="O240" s="451">
        <f>IF(ISBLANK(CkReg2022[[#This Row],[Withdrawal]]),O239+CkReg2022[[#This Row],[Deposit]],O239-CkReg2022[[#This Row],[Withdrawal]])</f>
        <v>13364.79</v>
      </c>
      <c r="P240" s="504"/>
      <c r="Q240" s="451">
        <f>IF(ISBLANK(CkReg2022[[#This Row],[Withdrawal]]),Q239+CkReg2022[[#This Row],[Deposit]],Q239-CkReg2022[[#This Row],[Withdrawal]])</f>
        <v>13364.79</v>
      </c>
      <c r="R240" s="376">
        <v>1</v>
      </c>
    </row>
    <row r="241" spans="8:18" x14ac:dyDescent="0.3">
      <c r="H241" s="499"/>
      <c r="I241" s="500"/>
      <c r="J241" s="501"/>
      <c r="K241" s="501"/>
      <c r="L241" s="501"/>
      <c r="M241" s="502"/>
      <c r="N241" s="503"/>
      <c r="O241" s="451">
        <f>IF(ISBLANK(CkReg2022[[#This Row],[Withdrawal]]),O240+CkReg2022[[#This Row],[Deposit]],O240-CkReg2022[[#This Row],[Withdrawal]])</f>
        <v>13364.79</v>
      </c>
      <c r="P241" s="504"/>
      <c r="Q241" s="451">
        <f>IF(ISBLANK(CkReg2022[[#This Row],[Withdrawal]]),Q240+CkReg2022[[#This Row],[Deposit]],Q240-CkReg2022[[#This Row],[Withdrawal]])</f>
        <v>13364.79</v>
      </c>
      <c r="R241" s="376">
        <v>1</v>
      </c>
    </row>
    <row r="242" spans="8:18" x14ac:dyDescent="0.3">
      <c r="H242" s="286"/>
      <c r="I242" s="383"/>
      <c r="J242" s="285"/>
      <c r="K242" s="285"/>
      <c r="L242" s="285"/>
      <c r="M242" s="446"/>
      <c r="N242" s="496"/>
      <c r="O242" s="451">
        <f>IF(ISBLANK(CkReg2022[[#This Row],[Withdrawal]]),O241+CkReg2022[[#This Row],[Deposit]],O241-CkReg2022[[#This Row],[Withdrawal]])</f>
        <v>13364.79</v>
      </c>
      <c r="P242" s="504"/>
      <c r="Q242" s="451">
        <f>IF(ISBLANK(CkReg2022[[#This Row],[Withdrawal]]),Q241+CkReg2022[[#This Row],[Deposit]],Q241-CkReg2022[[#This Row],[Withdrawal]])</f>
        <v>13364.79</v>
      </c>
      <c r="R242" s="376">
        <v>1</v>
      </c>
    </row>
    <row r="243" spans="8:18" x14ac:dyDescent="0.3">
      <c r="H243" s="286"/>
      <c r="I243" s="383"/>
      <c r="J243" s="285"/>
      <c r="K243" s="285"/>
      <c r="L243" s="285"/>
      <c r="M243" s="446"/>
      <c r="N243" s="496"/>
      <c r="O243" s="451">
        <f>IF(ISBLANK(CkReg2022[[#This Row],[Withdrawal]]),O242+CkReg2022[[#This Row],[Deposit]],O242-CkReg2022[[#This Row],[Withdrawal]])</f>
        <v>13364.79</v>
      </c>
      <c r="P243" s="504"/>
      <c r="Q243" s="451">
        <f>IF(ISBLANK(CkReg2022[[#This Row],[Withdrawal]]),Q242+CkReg2022[[#This Row],[Deposit]],Q242-CkReg2022[[#This Row],[Withdrawal]])</f>
        <v>13364.79</v>
      </c>
      <c r="R243" s="376">
        <v>1</v>
      </c>
    </row>
    <row r="244" spans="8:18" x14ac:dyDescent="0.3">
      <c r="H244" s="525"/>
      <c r="I244" s="526"/>
      <c r="J244" s="527"/>
      <c r="K244" s="527"/>
      <c r="L244" s="527"/>
      <c r="M244" s="528"/>
      <c r="N244" s="529"/>
      <c r="O244" s="451">
        <f>IF(ISBLANK(CkReg2022[[#This Row],[Withdrawal]]),O243+CkReg2022[[#This Row],[Deposit]],O243-CkReg2022[[#This Row],[Withdrawal]])</f>
        <v>13364.79</v>
      </c>
      <c r="P244" s="530"/>
      <c r="Q244" s="451">
        <f>IF(ISBLANK(CkReg2022[[#This Row],[Withdrawal]]),Q243+CkReg2022[[#This Row],[Deposit]],Q243-CkReg2022[[#This Row],[Withdrawal]])</f>
        <v>13364.79</v>
      </c>
      <c r="R244" s="376">
        <v>1</v>
      </c>
    </row>
    <row r="245" spans="8:18" x14ac:dyDescent="0.3">
      <c r="H245" s="525"/>
      <c r="I245" s="526"/>
      <c r="J245" s="527"/>
      <c r="K245" s="527"/>
      <c r="L245" s="527"/>
      <c r="M245" s="528"/>
      <c r="N245" s="529"/>
      <c r="O245" s="451">
        <f>IF(ISBLANK(CkReg2022[[#This Row],[Withdrawal]]),O244+CkReg2022[[#This Row],[Deposit]],O244-CkReg2022[[#This Row],[Withdrawal]])</f>
        <v>13364.79</v>
      </c>
      <c r="P245" s="530"/>
      <c r="Q245" s="451">
        <f>IF(ISBLANK(CkReg2022[[#This Row],[Withdrawal]]),Q244+CkReg2022[[#This Row],[Deposit]],Q244-CkReg2022[[#This Row],[Withdrawal]])</f>
        <v>13364.79</v>
      </c>
      <c r="R245" s="376">
        <v>1</v>
      </c>
    </row>
    <row r="246" spans="8:18" x14ac:dyDescent="0.3">
      <c r="H246" s="525"/>
      <c r="I246" s="526"/>
      <c r="J246" s="527"/>
      <c r="K246" s="527"/>
      <c r="L246" s="527"/>
      <c r="M246" s="528"/>
      <c r="N246" s="529"/>
      <c r="O246" s="451">
        <f>IF(ISBLANK(CkReg2022[[#This Row],[Withdrawal]]),O245+CkReg2022[[#This Row],[Deposit]],O245-CkReg2022[[#This Row],[Withdrawal]])</f>
        <v>13364.79</v>
      </c>
      <c r="P246" s="530"/>
      <c r="Q246" s="451">
        <f>IF(ISBLANK(CkReg2022[[#This Row],[Withdrawal]]),Q245+CkReg2022[[#This Row],[Deposit]],Q245-CkReg2022[[#This Row],[Withdrawal]])</f>
        <v>13364.79</v>
      </c>
      <c r="R246" s="376">
        <v>1</v>
      </c>
    </row>
    <row r="247" spans="8:18" x14ac:dyDescent="0.3">
      <c r="H247" s="525"/>
      <c r="I247" s="526"/>
      <c r="J247" s="527"/>
      <c r="K247" s="527"/>
      <c r="L247" s="527"/>
      <c r="M247" s="528"/>
      <c r="N247" s="529"/>
      <c r="O247" s="451">
        <f>IF(ISBLANK(CkReg2022[[#This Row],[Withdrawal]]),O246+CkReg2022[[#This Row],[Deposit]],O246-CkReg2022[[#This Row],[Withdrawal]])</f>
        <v>13364.79</v>
      </c>
      <c r="P247" s="530"/>
      <c r="Q247" s="451">
        <f>IF(ISBLANK(CkReg2022[[#This Row],[Withdrawal]]),Q246+CkReg2022[[#This Row],[Deposit]],Q246-CkReg2022[[#This Row],[Withdrawal]])</f>
        <v>13364.79</v>
      </c>
      <c r="R247" s="376">
        <v>1</v>
      </c>
    </row>
    <row r="248" spans="8:18" x14ac:dyDescent="0.3">
      <c r="H248" s="525"/>
      <c r="I248" s="526"/>
      <c r="J248" s="527"/>
      <c r="K248" s="527"/>
      <c r="L248" s="527"/>
      <c r="M248" s="528"/>
      <c r="N248" s="529"/>
      <c r="O248" s="451">
        <f>IF(ISBLANK(CkReg2022[[#This Row],[Withdrawal]]),O247+CkReg2022[[#This Row],[Deposit]],O247-CkReg2022[[#This Row],[Withdrawal]])</f>
        <v>13364.79</v>
      </c>
      <c r="P248" s="530"/>
      <c r="Q248" s="451">
        <f>IF(ISBLANK(CkReg2022[[#This Row],[Withdrawal]]),Q247+CkReg2022[[#This Row],[Deposit]],Q247-CkReg2022[[#This Row],[Withdrawal]])</f>
        <v>13364.79</v>
      </c>
      <c r="R248" s="376">
        <v>1</v>
      </c>
    </row>
    <row r="249" spans="8:18" x14ac:dyDescent="0.3">
      <c r="H249" s="525"/>
      <c r="I249" s="526"/>
      <c r="J249" s="527"/>
      <c r="K249" s="527"/>
      <c r="L249" s="527"/>
      <c r="M249" s="528"/>
      <c r="N249" s="529"/>
      <c r="O249" s="451">
        <f>IF(ISBLANK(CkReg2022[[#This Row],[Withdrawal]]),O248+CkReg2022[[#This Row],[Deposit]],O248-CkReg2022[[#This Row],[Withdrawal]])</f>
        <v>13364.79</v>
      </c>
      <c r="P249" s="530"/>
      <c r="Q249" s="451">
        <f>IF(ISBLANK(CkReg2022[[#This Row],[Withdrawal]]),Q248+CkReg2022[[#This Row],[Deposit]],Q248-CkReg2022[[#This Row],[Withdrawal]])</f>
        <v>13364.79</v>
      </c>
      <c r="R249" s="376">
        <v>1</v>
      </c>
    </row>
    <row r="250" spans="8:18" x14ac:dyDescent="0.3">
      <c r="H250" s="525"/>
      <c r="I250" s="526"/>
      <c r="J250" s="527"/>
      <c r="K250" s="527"/>
      <c r="L250" s="527"/>
      <c r="M250" s="528"/>
      <c r="N250" s="529"/>
      <c r="O250" s="451">
        <f>IF(ISBLANK(CkReg2022[[#This Row],[Withdrawal]]),O249+CkReg2022[[#This Row],[Deposit]],O249-CkReg2022[[#This Row],[Withdrawal]])</f>
        <v>13364.79</v>
      </c>
      <c r="P250" s="530"/>
      <c r="Q250" s="451">
        <f>IF(ISBLANK(CkReg2022[[#This Row],[Withdrawal]]),Q249+CkReg2022[[#This Row],[Deposit]],Q249-CkReg2022[[#This Row],[Withdrawal]])</f>
        <v>13364.79</v>
      </c>
      <c r="R250" s="376">
        <v>1</v>
      </c>
    </row>
    <row r="251" spans="8:18" x14ac:dyDescent="0.3">
      <c r="H251" s="543"/>
      <c r="I251" s="544"/>
      <c r="J251" s="545"/>
      <c r="K251" s="545"/>
      <c r="L251" s="545"/>
      <c r="M251" s="546"/>
      <c r="N251" s="547"/>
      <c r="O251" s="451">
        <f>IF(ISBLANK(CkReg2022[[#This Row],[Withdrawal]]),O250+CkReg2022[[#This Row],[Deposit]],O250-CkReg2022[[#This Row],[Withdrawal]])</f>
        <v>13364.79</v>
      </c>
      <c r="P251" s="548"/>
      <c r="Q251" s="451">
        <f>IF(ISBLANK(CkReg2022[[#This Row],[Withdrawal]]),Q250+CkReg2022[[#This Row],[Deposit]],Q250-CkReg2022[[#This Row],[Withdrawal]])</f>
        <v>13364.79</v>
      </c>
      <c r="R251" s="548"/>
    </row>
    <row r="252" spans="8:18" x14ac:dyDescent="0.3">
      <c r="H252" s="389"/>
      <c r="I252" s="442"/>
      <c r="J252" s="238"/>
      <c r="K252" s="238"/>
      <c r="L252" s="238"/>
      <c r="M252" s="549">
        <f>SUM(M4:M251)</f>
        <v>0</v>
      </c>
      <c r="N252" s="275">
        <f>SUBTOTAL(109,CkReg2022[Deposit])</f>
        <v>13364.79</v>
      </c>
      <c r="O252" s="275">
        <f>CkReg2022[[#Totals],[Deposit]]-CkReg2022[[#Totals],[Withdrawal]]</f>
        <v>13364.79</v>
      </c>
      <c r="P252" s="439"/>
      <c r="Q252" s="393"/>
      <c r="R252" s="439"/>
    </row>
    <row r="253" spans="8:18" x14ac:dyDescent="0.3">
      <c r="M253" s="100"/>
    </row>
    <row r="254" spans="8:18" x14ac:dyDescent="0.3">
      <c r="M254" s="100"/>
    </row>
    <row r="255" spans="8:18" x14ac:dyDescent="0.3">
      <c r="L255" s="542"/>
      <c r="M255" s="99"/>
    </row>
    <row r="256" spans="8:18" x14ac:dyDescent="0.3">
      <c r="M256" s="100"/>
    </row>
    <row r="257" spans="13:18" x14ac:dyDescent="0.3">
      <c r="M257" s="100"/>
    </row>
    <row r="258" spans="13:18" x14ac:dyDescent="0.3">
      <c r="M258" s="100"/>
    </row>
    <row r="259" spans="13:18" x14ac:dyDescent="0.3">
      <c r="M259" s="100"/>
    </row>
    <row r="260" spans="13:18" x14ac:dyDescent="0.3">
      <c r="M260" s="100"/>
      <c r="P260" s="441"/>
    </row>
    <row r="261" spans="13:18" x14ac:dyDescent="0.3">
      <c r="P261" s="441"/>
    </row>
    <row r="262" spans="13:18" x14ac:dyDescent="0.3">
      <c r="P262" s="441"/>
      <c r="R262" s="441"/>
    </row>
    <row r="263" spans="13:18" x14ac:dyDescent="0.3">
      <c r="M263" s="99"/>
      <c r="P263" s="441"/>
      <c r="R263" s="441"/>
    </row>
    <row r="264" spans="13:18" x14ac:dyDescent="0.3">
      <c r="P264" s="441"/>
    </row>
    <row r="265" spans="13:18" x14ac:dyDescent="0.3">
      <c r="P265" s="441"/>
    </row>
    <row r="266" spans="13:18" x14ac:dyDescent="0.3">
      <c r="P266" s="441"/>
    </row>
    <row r="267" spans="13:18" x14ac:dyDescent="0.3">
      <c r="P267" s="441"/>
    </row>
    <row r="268" spans="13:18" x14ac:dyDescent="0.3">
      <c r="P268" s="441"/>
    </row>
    <row r="269" spans="13:18" x14ac:dyDescent="0.3">
      <c r="P269" s="441"/>
    </row>
    <row r="270" spans="13:18" x14ac:dyDescent="0.3">
      <c r="P270" s="441"/>
    </row>
    <row r="546" spans="8:13" x14ac:dyDescent="0.3">
      <c r="H546" s="96"/>
      <c r="J546" s="96"/>
      <c r="K546" s="96"/>
      <c r="L546" s="96"/>
      <c r="M546" s="96"/>
    </row>
  </sheetData>
  <mergeCells count="1">
    <mergeCell ref="B73:F78"/>
  </mergeCells>
  <conditionalFormatting sqref="N4:N58 O4:O251 Q4:Q251">
    <cfRule type="expression" dxfId="190" priority="36">
      <formula>N4&lt;0</formula>
    </cfRule>
  </conditionalFormatting>
  <conditionalFormatting sqref="C65:F65 F17:F64">
    <cfRule type="cellIs" dxfId="189" priority="35" operator="lessThan">
      <formula>0</formula>
    </cfRule>
  </conditionalFormatting>
  <conditionalFormatting sqref="N64:N66">
    <cfRule type="expression" dxfId="188" priority="34">
      <formula>N64&lt;0</formula>
    </cfRule>
  </conditionalFormatting>
  <conditionalFormatting sqref="N54">
    <cfRule type="expression" dxfId="187" priority="33">
      <formula>N54&lt;0</formula>
    </cfRule>
  </conditionalFormatting>
  <conditionalFormatting sqref="N47">
    <cfRule type="expression" dxfId="186" priority="32">
      <formula>N47&lt;0</formula>
    </cfRule>
  </conditionalFormatting>
  <conditionalFormatting sqref="N53">
    <cfRule type="expression" dxfId="185" priority="31">
      <formula>N53&lt;0</formula>
    </cfRule>
  </conditionalFormatting>
  <conditionalFormatting sqref="N53">
    <cfRule type="expression" dxfId="184" priority="20">
      <formula>N53&lt;0</formula>
    </cfRule>
  </conditionalFormatting>
  <conditionalFormatting sqref="N53">
    <cfRule type="expression" dxfId="183" priority="30">
      <formula>N53&lt;0</formula>
    </cfRule>
  </conditionalFormatting>
  <conditionalFormatting sqref="N52">
    <cfRule type="expression" dxfId="182" priority="29">
      <formula>N52&lt;0</formula>
    </cfRule>
  </conditionalFormatting>
  <conditionalFormatting sqref="N48">
    <cfRule type="expression" dxfId="181" priority="28">
      <formula>N48&lt;0</formula>
    </cfRule>
  </conditionalFormatting>
  <conditionalFormatting sqref="N59:N61">
    <cfRule type="expression" dxfId="180" priority="27">
      <formula>N59&lt;0</formula>
    </cfRule>
  </conditionalFormatting>
  <conditionalFormatting sqref="N9:N10">
    <cfRule type="expression" dxfId="179" priority="26">
      <formula>N9&lt;0</formula>
    </cfRule>
  </conditionalFormatting>
  <conditionalFormatting sqref="N51">
    <cfRule type="expression" dxfId="178" priority="25">
      <formula>N51&lt;0</formula>
    </cfRule>
  </conditionalFormatting>
  <conditionalFormatting sqref="N50">
    <cfRule type="expression" dxfId="177" priority="24">
      <formula>N50&lt;0</formula>
    </cfRule>
  </conditionalFormatting>
  <conditionalFormatting sqref="N4">
    <cfRule type="expression" dxfId="176" priority="23">
      <formula>N4&lt;0</formula>
    </cfRule>
  </conditionalFormatting>
  <conditionalFormatting sqref="N4">
    <cfRule type="expression" dxfId="175" priority="22">
      <formula>N4&lt;0</formula>
    </cfRule>
  </conditionalFormatting>
  <conditionalFormatting sqref="N50">
    <cfRule type="expression" dxfId="174" priority="21">
      <formula>N50&lt;0</formula>
    </cfRule>
  </conditionalFormatting>
  <conditionalFormatting sqref="N52">
    <cfRule type="expression" dxfId="173" priority="19">
      <formula>N52&lt;0</formula>
    </cfRule>
  </conditionalFormatting>
  <conditionalFormatting sqref="N52">
    <cfRule type="expression" dxfId="172" priority="18">
      <formula>N52&lt;0</formula>
    </cfRule>
  </conditionalFormatting>
  <conditionalFormatting sqref="N50">
    <cfRule type="expression" dxfId="171" priority="17">
      <formula>N50&lt;0</formula>
    </cfRule>
  </conditionalFormatting>
  <conditionalFormatting sqref="N51">
    <cfRule type="expression" dxfId="170" priority="16">
      <formula>N51&lt;0</formula>
    </cfRule>
  </conditionalFormatting>
  <conditionalFormatting sqref="N49">
    <cfRule type="expression" dxfId="169" priority="12">
      <formula>N49&lt;0</formula>
    </cfRule>
  </conditionalFormatting>
  <conditionalFormatting sqref="N51">
    <cfRule type="expression" dxfId="168" priority="15">
      <formula>N51&lt;0</formula>
    </cfRule>
  </conditionalFormatting>
  <conditionalFormatting sqref="N50">
    <cfRule type="expression" dxfId="167" priority="14">
      <formula>N50&lt;0</formula>
    </cfRule>
  </conditionalFormatting>
  <conditionalFormatting sqref="N52">
    <cfRule type="expression" dxfId="166" priority="13">
      <formula>N52&lt;0</formula>
    </cfRule>
  </conditionalFormatting>
  <conditionalFormatting sqref="N51">
    <cfRule type="expression" dxfId="165" priority="11">
      <formula>N51&lt;0</formula>
    </cfRule>
  </conditionalFormatting>
  <conditionalFormatting sqref="N50">
    <cfRule type="expression" dxfId="164" priority="10">
      <formula>N50&lt;0</formula>
    </cfRule>
  </conditionalFormatting>
  <conditionalFormatting sqref="N51">
    <cfRule type="expression" dxfId="163" priority="7">
      <formula>N51&lt;0</formula>
    </cfRule>
  </conditionalFormatting>
  <conditionalFormatting sqref="N50">
    <cfRule type="expression" dxfId="162" priority="9">
      <formula>N50&lt;0</formula>
    </cfRule>
  </conditionalFormatting>
  <conditionalFormatting sqref="N54">
    <cfRule type="expression" dxfId="161" priority="8">
      <formula>N54&lt;0</formula>
    </cfRule>
  </conditionalFormatting>
  <conditionalFormatting sqref="F18:F64">
    <cfRule type="cellIs" dxfId="160" priority="6" operator="greaterThan">
      <formula>0</formula>
    </cfRule>
  </conditionalFormatting>
  <conditionalFormatting sqref="R4:R8 R10:R14 R16:R20 R22:R26 R28:R32 R34:R38 R40:R44 R46:R50 R52:R56 R58:R62 R64:R68 R70:R74 R76:R80 R82:R86 R88:R92 R94:R98 R100:R104 R106:R110 R112:R116 R118:R122 R124:R128 R130:R134 R136:R140 R142:R146 R148:R152 R154:R158 R160:R164 R166:R170 R172:R176 R178:R182 R184:R188 R190:R194 R196:R200 R202:R206 R208:R212 R214:R218 R220:R224 R226:R230 R232:R236 R238:R242 R244:R248 R250">
    <cfRule type="cellIs" dxfId="22" priority="5" operator="greaterThan">
      <formula>1</formula>
    </cfRule>
  </conditionalFormatting>
  <conditionalFormatting sqref="N3:O3 Q3">
    <cfRule type="expression" dxfId="159" priority="3">
      <formula>N3&lt;0</formula>
    </cfRule>
  </conditionalFormatting>
  <conditionalFormatting sqref="R3 R9 R15 R21 R27 R33 R39 R45 R51 R57 R63 R69 R75 R81 R87 R93 R99 R105 R111 R117 R123 R129 R135 R141 R147 R153 R159 R165 R171 R177 R183 R189 R195 R201 R207 R213 R219 R225 R231 R237 R243 R249">
    <cfRule type="cellIs" dxfId="158" priority="2" operator="greaterThan">
      <formula>1</formula>
    </cfRule>
  </conditionalFormatting>
  <conditionalFormatting sqref="H3">
    <cfRule type="duplicateValues" dxfId="157" priority="4"/>
  </conditionalFormatting>
  <conditionalFormatting sqref="H4:H250">
    <cfRule type="duplicateValues" dxfId="156" priority="37"/>
  </conditionalFormatting>
  <conditionalFormatting sqref="C67">
    <cfRule type="expression" dxfId="23" priority="1">
      <formula>"&lt;&gt;0"</formula>
    </cfRule>
  </conditionalFormatting>
  <dataValidations count="1">
    <dataValidation type="list" allowBlank="1" showInputMessage="1" showErrorMessage="1" sqref="L236:L250 L3:L234" xr:uid="{D42B4165-BBA4-4F0A-8DA6-0A55B6EB941B}">
      <formula1>Category</formula1>
    </dataValidation>
  </dataValidations>
  <printOptions horizontalCentered="1"/>
  <pageMargins left="0.2" right="0.1" top="0.25" bottom="0.25" header="0.3" footer="0.3"/>
  <pageSetup scale="83" fitToWidth="0" orientation="portrait" horizontalDpi="4294967293" verticalDpi="360" r:id="rId1"/>
  <drawing r:id="rId2"/>
  <tableParts count="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116B0-5BD6-44C9-8D61-B7CB73647B86}">
  <sheetPr>
    <tabColor theme="5" tint="0.79998168889431442"/>
  </sheetPr>
  <dimension ref="A1:H82"/>
  <sheetViews>
    <sheetView tabSelected="1" workbookViewId="0">
      <selection activeCell="D13" sqref="D13"/>
    </sheetView>
  </sheetViews>
  <sheetFormatPr defaultRowHeight="13.8" x14ac:dyDescent="0.3"/>
  <cols>
    <col min="1" max="1" width="32.21875" bestFit="1" customWidth="1"/>
    <col min="2" max="3" width="11.88671875" bestFit="1" customWidth="1"/>
    <col min="4" max="4" width="20" bestFit="1" customWidth="1"/>
    <col min="5" max="5" width="1.77734375" customWidth="1"/>
    <col min="6" max="6" width="11.21875" bestFit="1" customWidth="1"/>
    <col min="7" max="7" width="11.88671875" bestFit="1" customWidth="1"/>
    <col min="8" max="8" width="10.77734375" bestFit="1" customWidth="1"/>
  </cols>
  <sheetData>
    <row r="1" spans="1:8" ht="15.6" x14ac:dyDescent="0.3">
      <c r="A1" s="573" t="s">
        <v>1087</v>
      </c>
      <c r="B1" s="574"/>
      <c r="C1" s="574"/>
      <c r="D1" s="574" t="s">
        <v>1088</v>
      </c>
      <c r="E1" s="575"/>
      <c r="F1" s="574"/>
      <c r="G1" s="574"/>
      <c r="H1" s="574"/>
    </row>
    <row r="2" spans="1:8" ht="52.2" x14ac:dyDescent="0.45">
      <c r="A2" s="576" t="s">
        <v>4</v>
      </c>
      <c r="B2" s="577" t="s">
        <v>949</v>
      </c>
      <c r="C2" s="577" t="s">
        <v>1089</v>
      </c>
      <c r="D2" s="577" t="s">
        <v>1090</v>
      </c>
      <c r="E2" s="578"/>
      <c r="F2" s="577" t="s">
        <v>1091</v>
      </c>
      <c r="G2" s="577" t="s">
        <v>1092</v>
      </c>
      <c r="H2" s="577" t="s">
        <v>1093</v>
      </c>
    </row>
    <row r="3" spans="1:8" ht="15.6" x14ac:dyDescent="0.3">
      <c r="A3" s="579" t="s">
        <v>5</v>
      </c>
      <c r="B3" s="580">
        <v>13364.79</v>
      </c>
      <c r="C3" s="580">
        <v>12826</v>
      </c>
      <c r="D3" s="580">
        <f>20193+B36+B37</f>
        <v>15791.49</v>
      </c>
      <c r="E3" s="581"/>
      <c r="F3" s="580">
        <f>+D3</f>
        <v>15791.49</v>
      </c>
      <c r="G3" s="580"/>
      <c r="H3" s="580"/>
    </row>
    <row r="4" spans="1:8" ht="15.6" x14ac:dyDescent="0.3">
      <c r="A4" s="579" t="s">
        <v>55</v>
      </c>
      <c r="B4" s="580">
        <v>-3000</v>
      </c>
      <c r="C4" s="580">
        <v>-3000</v>
      </c>
      <c r="D4" s="580">
        <v>-4000</v>
      </c>
      <c r="E4" s="581"/>
      <c r="F4" s="580">
        <v>-4000</v>
      </c>
      <c r="G4" s="580"/>
      <c r="H4" s="580"/>
    </row>
    <row r="5" spans="1:8" ht="15.6" x14ac:dyDescent="0.3">
      <c r="A5" s="579" t="s">
        <v>703</v>
      </c>
      <c r="B5" s="580">
        <v>-1715</v>
      </c>
      <c r="C5" s="580">
        <v>-1715</v>
      </c>
      <c r="D5" s="580">
        <v>-3950</v>
      </c>
      <c r="E5" s="581"/>
      <c r="F5" s="580">
        <v>-3950</v>
      </c>
      <c r="G5" s="580"/>
      <c r="H5" s="580"/>
    </row>
    <row r="6" spans="1:8" ht="15.6" x14ac:dyDescent="0.3">
      <c r="A6" s="579" t="s">
        <v>56</v>
      </c>
      <c r="B6" s="580">
        <v>-4000</v>
      </c>
      <c r="C6" s="580">
        <v>-4000</v>
      </c>
      <c r="D6" s="580">
        <v>-4500</v>
      </c>
      <c r="E6" s="581"/>
      <c r="F6" s="580">
        <v>-4500</v>
      </c>
      <c r="G6" s="580"/>
      <c r="H6" s="580"/>
    </row>
    <row r="7" spans="1:8" ht="16.2" thickBot="1" x14ac:dyDescent="0.35">
      <c r="A7" s="582" t="s">
        <v>1094</v>
      </c>
      <c r="B7" s="583">
        <f>SUM(B3:B6)</f>
        <v>4649.7900000000009</v>
      </c>
      <c r="C7" s="583">
        <f t="shared" ref="C7:F7" si="0">SUM(C3:C6)</f>
        <v>4111</v>
      </c>
      <c r="D7" s="583">
        <f t="shared" si="0"/>
        <v>3341.49</v>
      </c>
      <c r="E7" s="581"/>
      <c r="F7" s="583">
        <f t="shared" si="0"/>
        <v>3341.49</v>
      </c>
      <c r="G7" s="583">
        <v>0</v>
      </c>
      <c r="H7" s="583">
        <v>0</v>
      </c>
    </row>
    <row r="8" spans="1:8" ht="16.2" thickTop="1" x14ac:dyDescent="0.3">
      <c r="A8" s="584"/>
      <c r="B8" s="580"/>
      <c r="C8" s="580"/>
      <c r="D8" s="580"/>
      <c r="E8" s="581"/>
      <c r="F8" s="580"/>
      <c r="G8" s="580"/>
      <c r="H8" s="580"/>
    </row>
    <row r="9" spans="1:8" ht="15.6" x14ac:dyDescent="0.3">
      <c r="A9" s="579" t="s">
        <v>33</v>
      </c>
      <c r="B9" s="580">
        <v>336</v>
      </c>
      <c r="C9" s="580">
        <v>500</v>
      </c>
      <c r="D9" s="580">
        <v>550</v>
      </c>
      <c r="E9" s="581"/>
      <c r="F9" s="580">
        <f>+D9</f>
        <v>550</v>
      </c>
      <c r="G9" s="580"/>
      <c r="H9" s="580"/>
    </row>
    <row r="10" spans="1:8" ht="15.6" x14ac:dyDescent="0.3">
      <c r="A10" s="579" t="s">
        <v>219</v>
      </c>
      <c r="B10" s="580">
        <v>1560</v>
      </c>
      <c r="C10" s="580">
        <v>775</v>
      </c>
      <c r="D10" s="580">
        <v>900</v>
      </c>
      <c r="E10" s="581"/>
      <c r="F10" s="580">
        <f>+D10</f>
        <v>900</v>
      </c>
      <c r="G10" s="580"/>
      <c r="H10" s="580"/>
    </row>
    <row r="11" spans="1:8" ht="15.6" x14ac:dyDescent="0.3">
      <c r="A11" s="579" t="s">
        <v>60</v>
      </c>
      <c r="B11" s="580">
        <v>9345</v>
      </c>
      <c r="C11" s="580">
        <v>5500</v>
      </c>
      <c r="D11" s="580">
        <v>6500</v>
      </c>
      <c r="E11" s="581"/>
      <c r="F11" s="580"/>
      <c r="G11" s="580">
        <f>+D11</f>
        <v>6500</v>
      </c>
      <c r="H11" s="580"/>
    </row>
    <row r="12" spans="1:8" ht="15.6" x14ac:dyDescent="0.3">
      <c r="A12" s="579" t="s">
        <v>61</v>
      </c>
      <c r="B12" s="585">
        <v>17790.5</v>
      </c>
      <c r="C12" s="580">
        <v>14500</v>
      </c>
      <c r="D12" s="580">
        <v>18600</v>
      </c>
      <c r="E12" s="581"/>
      <c r="F12" s="580"/>
      <c r="G12" s="580">
        <f>+D12</f>
        <v>18600</v>
      </c>
      <c r="H12" s="580"/>
    </row>
    <row r="13" spans="1:8" ht="15.6" x14ac:dyDescent="0.3">
      <c r="A13" s="582" t="s">
        <v>1095</v>
      </c>
      <c r="B13" s="586">
        <f>SUM(B9:B12)</f>
        <v>29031.5</v>
      </c>
      <c r="C13" s="586">
        <f>SUM(C9:C12)</f>
        <v>21275</v>
      </c>
      <c r="D13" s="586">
        <f>SUM(D9:D12)</f>
        <v>26550</v>
      </c>
      <c r="E13" s="581"/>
      <c r="F13" s="586">
        <f>SUM(F9:F12)</f>
        <v>1450</v>
      </c>
      <c r="G13" s="586">
        <f>SUM(G9:G12)</f>
        <v>25100</v>
      </c>
      <c r="H13" s="586">
        <f>SUM(H9:H12)</f>
        <v>0</v>
      </c>
    </row>
    <row r="14" spans="1:8" ht="15.6" x14ac:dyDescent="0.3">
      <c r="A14" s="584"/>
      <c r="B14" s="580"/>
      <c r="C14" s="580"/>
      <c r="D14" s="580"/>
      <c r="E14" s="581"/>
      <c r="F14" s="580"/>
      <c r="G14" s="580"/>
      <c r="H14" s="580"/>
    </row>
    <row r="15" spans="1:8" ht="15.6" x14ac:dyDescent="0.3">
      <c r="A15" s="579" t="s">
        <v>34</v>
      </c>
      <c r="B15" s="580">
        <v>-800</v>
      </c>
      <c r="C15" s="580">
        <v>-1250</v>
      </c>
      <c r="D15" s="580">
        <v>-1375</v>
      </c>
      <c r="E15" s="581"/>
      <c r="F15" s="580">
        <f t="shared" ref="F15:F35" si="1">+D15</f>
        <v>-1375</v>
      </c>
      <c r="G15" s="580"/>
      <c r="H15" s="580"/>
    </row>
    <row r="16" spans="1:8" ht="15.6" x14ac:dyDescent="0.3">
      <c r="A16" s="579" t="s">
        <v>47</v>
      </c>
      <c r="B16" s="580">
        <v>0</v>
      </c>
      <c r="C16" s="580">
        <v>-25</v>
      </c>
      <c r="D16" s="580">
        <v>-30</v>
      </c>
      <c r="E16" s="581"/>
      <c r="F16" s="580">
        <f t="shared" si="1"/>
        <v>-30</v>
      </c>
      <c r="G16" s="580"/>
      <c r="H16" s="580"/>
    </row>
    <row r="17" spans="1:8" ht="15.6" x14ac:dyDescent="0.3">
      <c r="A17" s="579" t="s">
        <v>37</v>
      </c>
      <c r="B17" s="580">
        <v>0</v>
      </c>
      <c r="C17" s="580">
        <v>-50</v>
      </c>
      <c r="D17" s="580">
        <v>-50</v>
      </c>
      <c r="E17" s="581"/>
      <c r="F17" s="580">
        <f t="shared" si="1"/>
        <v>-50</v>
      </c>
      <c r="G17" s="580"/>
      <c r="H17" s="580"/>
    </row>
    <row r="18" spans="1:8" ht="15.6" x14ac:dyDescent="0.3">
      <c r="A18" s="579" t="s">
        <v>91</v>
      </c>
      <c r="B18" s="580">
        <v>1</v>
      </c>
      <c r="C18" s="580">
        <v>5</v>
      </c>
      <c r="D18" s="580">
        <v>-5</v>
      </c>
      <c r="E18" s="581"/>
      <c r="F18" s="580">
        <f t="shared" si="1"/>
        <v>-5</v>
      </c>
      <c r="G18" s="580"/>
      <c r="H18" s="580"/>
    </row>
    <row r="19" spans="1:8" ht="15.6" x14ac:dyDescent="0.3">
      <c r="A19" s="579" t="s">
        <v>39</v>
      </c>
      <c r="B19" s="580">
        <v>-98</v>
      </c>
      <c r="C19" s="580">
        <v>-175</v>
      </c>
      <c r="D19" s="580">
        <v>-200</v>
      </c>
      <c r="E19" s="581"/>
      <c r="F19" s="580">
        <f t="shared" si="1"/>
        <v>-200</v>
      </c>
      <c r="G19" s="580"/>
      <c r="H19" s="580"/>
    </row>
    <row r="20" spans="1:8" ht="15.6" x14ac:dyDescent="0.3">
      <c r="A20" s="579" t="s">
        <v>43</v>
      </c>
      <c r="B20" s="580">
        <v>-400</v>
      </c>
      <c r="C20" s="580">
        <v>-300</v>
      </c>
      <c r="D20" s="580">
        <v>-450</v>
      </c>
      <c r="E20" s="581"/>
      <c r="F20" s="580">
        <f t="shared" si="1"/>
        <v>-450</v>
      </c>
      <c r="G20" s="580"/>
      <c r="H20" s="580"/>
    </row>
    <row r="21" spans="1:8" ht="15.6" x14ac:dyDescent="0.3">
      <c r="A21" s="579" t="s">
        <v>44</v>
      </c>
      <c r="B21" s="580">
        <v>0</v>
      </c>
      <c r="C21" s="580">
        <v>-50</v>
      </c>
      <c r="D21" s="580">
        <v>-50</v>
      </c>
      <c r="E21" s="581"/>
      <c r="F21" s="580">
        <f t="shared" si="1"/>
        <v>-50</v>
      </c>
      <c r="G21" s="580"/>
      <c r="H21" s="580"/>
    </row>
    <row r="22" spans="1:8" ht="15.6" x14ac:dyDescent="0.3">
      <c r="A22" s="579" t="s">
        <v>40</v>
      </c>
      <c r="B22" s="580">
        <v>0</v>
      </c>
      <c r="C22" s="580">
        <v>0</v>
      </c>
      <c r="D22" s="580">
        <v>-50</v>
      </c>
      <c r="E22" s="581"/>
      <c r="F22" s="580">
        <f t="shared" si="1"/>
        <v>-50</v>
      </c>
      <c r="G22" s="580"/>
      <c r="H22" s="580"/>
    </row>
    <row r="23" spans="1:8" ht="15.6" x14ac:dyDescent="0.3">
      <c r="A23" s="579" t="s">
        <v>45</v>
      </c>
      <c r="B23" s="580">
        <v>-134</v>
      </c>
      <c r="C23" s="580">
        <v>-110</v>
      </c>
      <c r="D23" s="580">
        <v>-150</v>
      </c>
      <c r="E23" s="581"/>
      <c r="F23" s="580">
        <f t="shared" si="1"/>
        <v>-150</v>
      </c>
      <c r="G23" s="580"/>
      <c r="H23" s="580"/>
    </row>
    <row r="24" spans="1:8" ht="15.6" x14ac:dyDescent="0.3">
      <c r="A24" s="579" t="s">
        <v>46</v>
      </c>
      <c r="B24" s="580">
        <v>-1199</v>
      </c>
      <c r="C24" s="580">
        <v>-1100</v>
      </c>
      <c r="D24" s="580">
        <v>-900</v>
      </c>
      <c r="E24" s="581"/>
      <c r="F24" s="580">
        <f t="shared" si="1"/>
        <v>-900</v>
      </c>
      <c r="G24" s="580"/>
      <c r="H24" s="580"/>
    </row>
    <row r="25" spans="1:8" ht="15.6" x14ac:dyDescent="0.3">
      <c r="A25" s="579" t="s">
        <v>946</v>
      </c>
      <c r="B25" s="580">
        <v>-147</v>
      </c>
      <c r="C25" s="580">
        <v>-200</v>
      </c>
      <c r="D25" s="580">
        <v>-200</v>
      </c>
      <c r="E25" s="581"/>
      <c r="F25" s="580">
        <f t="shared" si="1"/>
        <v>-200</v>
      </c>
      <c r="G25" s="580"/>
      <c r="H25" s="580"/>
    </row>
    <row r="26" spans="1:8" ht="15.6" x14ac:dyDescent="0.3">
      <c r="A26" s="579" t="s">
        <v>49</v>
      </c>
      <c r="B26" s="580">
        <v>0</v>
      </c>
      <c r="C26" s="580">
        <v>-25</v>
      </c>
      <c r="D26" s="580">
        <v>-30</v>
      </c>
      <c r="E26" s="581"/>
      <c r="F26" s="580">
        <f t="shared" si="1"/>
        <v>-30</v>
      </c>
      <c r="G26" s="580"/>
      <c r="H26" s="580"/>
    </row>
    <row r="27" spans="1:8" ht="15.6" x14ac:dyDescent="0.3">
      <c r="A27" s="579" t="s">
        <v>50</v>
      </c>
      <c r="B27" s="580">
        <v>0</v>
      </c>
      <c r="C27" s="580">
        <v>-13</v>
      </c>
      <c r="D27" s="580">
        <v>-30</v>
      </c>
      <c r="E27" s="581"/>
      <c r="F27" s="580">
        <f t="shared" si="1"/>
        <v>-30</v>
      </c>
      <c r="G27" s="580"/>
      <c r="H27" s="580"/>
    </row>
    <row r="28" spans="1:8" ht="15.6" x14ac:dyDescent="0.3">
      <c r="A28" s="579" t="s">
        <v>51</v>
      </c>
      <c r="B28" s="580">
        <v>0</v>
      </c>
      <c r="C28" s="580">
        <v>-320</v>
      </c>
      <c r="D28" s="580">
        <v>-320</v>
      </c>
      <c r="E28" s="581"/>
      <c r="F28" s="580">
        <f t="shared" si="1"/>
        <v>-320</v>
      </c>
      <c r="G28" s="580"/>
      <c r="H28" s="580"/>
    </row>
    <row r="29" spans="1:8" ht="15.6" x14ac:dyDescent="0.3">
      <c r="A29" s="579" t="s">
        <v>52</v>
      </c>
      <c r="B29" s="580">
        <v>-39</v>
      </c>
      <c r="C29" s="580">
        <v>-50</v>
      </c>
      <c r="D29" s="580">
        <v>-50</v>
      </c>
      <c r="E29" s="581"/>
      <c r="F29" s="580">
        <f t="shared" si="1"/>
        <v>-50</v>
      </c>
      <c r="G29" s="580"/>
      <c r="H29" s="580"/>
    </row>
    <row r="30" spans="1:8" ht="15.6" x14ac:dyDescent="0.3">
      <c r="A30" s="579" t="s">
        <v>53</v>
      </c>
      <c r="B30" s="580">
        <v>0</v>
      </c>
      <c r="C30" s="580">
        <v>-50</v>
      </c>
      <c r="D30" s="580">
        <v>-150</v>
      </c>
      <c r="E30" s="581"/>
      <c r="F30" s="580">
        <f t="shared" si="1"/>
        <v>-150</v>
      </c>
      <c r="G30" s="580"/>
      <c r="H30" s="580"/>
    </row>
    <row r="31" spans="1:8" ht="15.6" x14ac:dyDescent="0.3">
      <c r="A31" s="579" t="s">
        <v>36</v>
      </c>
      <c r="B31" s="580">
        <v>-100</v>
      </c>
      <c r="C31" s="580">
        <v>-300</v>
      </c>
      <c r="D31" s="580">
        <v>-300</v>
      </c>
      <c r="E31" s="581"/>
      <c r="F31" s="580">
        <f t="shared" si="1"/>
        <v>-300</v>
      </c>
      <c r="G31" s="580"/>
      <c r="H31" s="580"/>
    </row>
    <row r="32" spans="1:8" ht="15.6" x14ac:dyDescent="0.3">
      <c r="A32" s="579" t="s">
        <v>573</v>
      </c>
      <c r="B32" s="580">
        <v>0</v>
      </c>
      <c r="C32" s="580">
        <v>-50</v>
      </c>
      <c r="D32" s="580">
        <v>-50</v>
      </c>
      <c r="E32" s="581"/>
      <c r="F32" s="580">
        <f t="shared" si="1"/>
        <v>-50</v>
      </c>
      <c r="G32" s="580"/>
      <c r="H32" s="580"/>
    </row>
    <row r="33" spans="1:8" ht="15.6" x14ac:dyDescent="0.3">
      <c r="A33" s="579" t="s">
        <v>574</v>
      </c>
      <c r="B33" s="580">
        <v>0</v>
      </c>
      <c r="C33" s="580">
        <v>-50</v>
      </c>
      <c r="D33" s="580">
        <v>-50</v>
      </c>
      <c r="E33" s="581"/>
      <c r="F33" s="580">
        <f t="shared" si="1"/>
        <v>-50</v>
      </c>
      <c r="G33" s="580"/>
      <c r="H33" s="580"/>
    </row>
    <row r="34" spans="1:8" ht="15.6" x14ac:dyDescent="0.3">
      <c r="A34" s="579" t="s">
        <v>389</v>
      </c>
      <c r="B34" s="580">
        <v>-150</v>
      </c>
      <c r="C34" s="580">
        <v>-250</v>
      </c>
      <c r="D34" s="580">
        <v>-250</v>
      </c>
      <c r="E34" s="581"/>
      <c r="F34" s="580">
        <f t="shared" si="1"/>
        <v>-250</v>
      </c>
      <c r="G34" s="580"/>
      <c r="H34" s="580"/>
    </row>
    <row r="35" spans="1:8" ht="15.6" x14ac:dyDescent="0.3">
      <c r="A35" s="579" t="s">
        <v>390</v>
      </c>
      <c r="B35" s="580">
        <v>0</v>
      </c>
      <c r="C35" s="580">
        <v>-100</v>
      </c>
      <c r="D35" s="580">
        <v>-100</v>
      </c>
      <c r="E35" s="581"/>
      <c r="F35" s="580">
        <f t="shared" si="1"/>
        <v>-100</v>
      </c>
      <c r="G35" s="580"/>
      <c r="H35" s="580"/>
    </row>
    <row r="36" spans="1:8" ht="15.6" x14ac:dyDescent="0.3">
      <c r="A36" s="579" t="s">
        <v>943</v>
      </c>
      <c r="B36" s="587">
        <v>-3301.1325000000002</v>
      </c>
      <c r="C36" s="580">
        <v>-875</v>
      </c>
      <c r="D36" s="580">
        <f>0.75*-3401.49</f>
        <v>-2551.1174999999998</v>
      </c>
      <c r="E36" s="581"/>
      <c r="F36" s="580"/>
      <c r="G36" s="580"/>
      <c r="H36" s="580">
        <f>+D36</f>
        <v>-2551.1174999999998</v>
      </c>
    </row>
    <row r="37" spans="1:8" ht="15.6" x14ac:dyDescent="0.3">
      <c r="A37" s="579" t="s">
        <v>944</v>
      </c>
      <c r="B37" s="587">
        <v>-1100.3775000000001</v>
      </c>
      <c r="C37" s="580">
        <v>-275</v>
      </c>
      <c r="D37" s="580">
        <v>-850.37</v>
      </c>
      <c r="E37" s="581"/>
      <c r="F37" s="580"/>
      <c r="G37" s="580"/>
      <c r="H37" s="580">
        <f>+D37</f>
        <v>-850.37</v>
      </c>
    </row>
    <row r="38" spans="1:8" ht="15.6" x14ac:dyDescent="0.3">
      <c r="A38" s="579" t="s">
        <v>62</v>
      </c>
      <c r="B38" s="580">
        <v>0</v>
      </c>
      <c r="C38" s="580">
        <v>-100</v>
      </c>
      <c r="D38" s="580">
        <v>-100</v>
      </c>
      <c r="E38" s="581"/>
      <c r="F38" s="580"/>
      <c r="G38" s="580">
        <f>+D38</f>
        <v>-100</v>
      </c>
      <c r="H38" s="580"/>
    </row>
    <row r="39" spans="1:8" ht="15.6" x14ac:dyDescent="0.3">
      <c r="A39" s="579" t="s">
        <v>63</v>
      </c>
      <c r="B39" s="580">
        <v>0</v>
      </c>
      <c r="C39" s="580">
        <v>-100</v>
      </c>
      <c r="D39" s="580">
        <v>-100</v>
      </c>
      <c r="E39" s="581"/>
      <c r="F39" s="580"/>
      <c r="G39" s="580">
        <f t="shared" ref="G39:G53" si="2">+D39</f>
        <v>-100</v>
      </c>
      <c r="H39" s="580"/>
    </row>
    <row r="40" spans="1:8" ht="15.6" x14ac:dyDescent="0.3">
      <c r="A40" s="579" t="s">
        <v>64</v>
      </c>
      <c r="B40" s="580">
        <v>-50</v>
      </c>
      <c r="C40" s="580">
        <v>-50</v>
      </c>
      <c r="D40" s="580">
        <v>-50</v>
      </c>
      <c r="E40" s="581"/>
      <c r="F40" s="580"/>
      <c r="G40" s="580">
        <f t="shared" si="2"/>
        <v>-50</v>
      </c>
      <c r="H40" s="580"/>
    </row>
    <row r="41" spans="1:8" ht="15.6" x14ac:dyDescent="0.3">
      <c r="A41" s="579" t="s">
        <v>65</v>
      </c>
      <c r="B41" s="580">
        <v>-50</v>
      </c>
      <c r="C41" s="580">
        <v>-50</v>
      </c>
      <c r="D41" s="580">
        <v>-50</v>
      </c>
      <c r="E41" s="581"/>
      <c r="F41" s="580"/>
      <c r="G41" s="580">
        <f t="shared" si="2"/>
        <v>-50</v>
      </c>
      <c r="H41" s="580"/>
    </row>
    <row r="42" spans="1:8" ht="15.6" x14ac:dyDescent="0.3">
      <c r="A42" s="579" t="s">
        <v>66</v>
      </c>
      <c r="B42" s="580">
        <v>-5098</v>
      </c>
      <c r="C42" s="580">
        <v>-4500</v>
      </c>
      <c r="D42" s="580">
        <v>-6000</v>
      </c>
      <c r="E42" s="581"/>
      <c r="F42" s="580"/>
      <c r="G42" s="580">
        <f t="shared" si="2"/>
        <v>-6000</v>
      </c>
      <c r="H42" s="580"/>
    </row>
    <row r="43" spans="1:8" ht="15.6" x14ac:dyDescent="0.3">
      <c r="A43" s="579" t="s">
        <v>67</v>
      </c>
      <c r="B43" s="580">
        <v>-4288</v>
      </c>
      <c r="C43" s="580">
        <v>-3865</v>
      </c>
      <c r="D43" s="580">
        <v>-5000</v>
      </c>
      <c r="E43" s="581"/>
      <c r="F43" s="580"/>
      <c r="G43" s="580">
        <f t="shared" si="2"/>
        <v>-5000</v>
      </c>
      <c r="H43" s="580"/>
    </row>
    <row r="44" spans="1:8" ht="15.6" x14ac:dyDescent="0.3">
      <c r="A44" s="579" t="s">
        <v>918</v>
      </c>
      <c r="B44" s="580">
        <v>-160</v>
      </c>
      <c r="C44" s="580">
        <v>-135</v>
      </c>
      <c r="D44" s="580">
        <v>-100</v>
      </c>
      <c r="E44" s="581"/>
      <c r="F44" s="580"/>
      <c r="G44" s="580">
        <f t="shared" si="2"/>
        <v>-100</v>
      </c>
      <c r="H44" s="580"/>
    </row>
    <row r="45" spans="1:8" ht="15.6" x14ac:dyDescent="0.3">
      <c r="A45" s="579" t="s">
        <v>68</v>
      </c>
      <c r="B45" s="580">
        <v>-943</v>
      </c>
      <c r="C45" s="580">
        <v>-1000</v>
      </c>
      <c r="D45" s="580">
        <v>-1000</v>
      </c>
      <c r="E45" s="581"/>
      <c r="F45" s="580"/>
      <c r="G45" s="580">
        <f t="shared" si="2"/>
        <v>-1000</v>
      </c>
      <c r="H45" s="580"/>
    </row>
    <row r="46" spans="1:8" ht="15.6" x14ac:dyDescent="0.3">
      <c r="A46" s="579" t="s">
        <v>69</v>
      </c>
      <c r="B46" s="580">
        <v>-7201</v>
      </c>
      <c r="C46" s="580">
        <v>-5600</v>
      </c>
      <c r="D46" s="580">
        <v>-8000</v>
      </c>
      <c r="E46" s="581"/>
      <c r="F46" s="580"/>
      <c r="G46" s="580">
        <f t="shared" si="2"/>
        <v>-8000</v>
      </c>
      <c r="H46" s="580"/>
    </row>
    <row r="47" spans="1:8" ht="15.6" x14ac:dyDescent="0.3">
      <c r="A47" s="579" t="s">
        <v>920</v>
      </c>
      <c r="B47" s="580">
        <v>-487</v>
      </c>
      <c r="C47" s="580">
        <v>-550</v>
      </c>
      <c r="D47" s="580">
        <v>-500</v>
      </c>
      <c r="E47" s="581"/>
      <c r="F47" s="580"/>
      <c r="G47" s="580">
        <f t="shared" si="2"/>
        <v>-500</v>
      </c>
      <c r="H47" s="580"/>
    </row>
    <row r="48" spans="1:8" ht="15.6" x14ac:dyDescent="0.3">
      <c r="A48" s="579" t="s">
        <v>919</v>
      </c>
      <c r="B48" s="580">
        <v>-275</v>
      </c>
      <c r="C48" s="580">
        <v>-360</v>
      </c>
      <c r="D48" s="580">
        <v>-300</v>
      </c>
      <c r="E48" s="581"/>
      <c r="F48" s="580"/>
      <c r="G48" s="580">
        <f t="shared" si="2"/>
        <v>-300</v>
      </c>
      <c r="H48" s="580"/>
    </row>
    <row r="49" spans="1:8" ht="15.6" x14ac:dyDescent="0.3">
      <c r="A49" s="579" t="s">
        <v>71</v>
      </c>
      <c r="B49" s="580">
        <v>-30</v>
      </c>
      <c r="C49" s="580">
        <v>-50</v>
      </c>
      <c r="D49" s="580">
        <v>-50</v>
      </c>
      <c r="E49" s="581"/>
      <c r="F49" s="580"/>
      <c r="G49" s="580">
        <f t="shared" si="2"/>
        <v>-50</v>
      </c>
      <c r="H49" s="580"/>
    </row>
    <row r="50" spans="1:8" ht="15.6" x14ac:dyDescent="0.3">
      <c r="A50" s="579" t="s">
        <v>72</v>
      </c>
      <c r="B50" s="580">
        <v>-250</v>
      </c>
      <c r="C50" s="580">
        <v>-250</v>
      </c>
      <c r="D50" s="580">
        <v>-250</v>
      </c>
      <c r="E50" s="581"/>
      <c r="F50" s="580"/>
      <c r="G50" s="580">
        <f t="shared" si="2"/>
        <v>-250</v>
      </c>
      <c r="H50" s="580"/>
    </row>
    <row r="51" spans="1:8" ht="15.6" x14ac:dyDescent="0.3">
      <c r="A51" s="579" t="s">
        <v>73</v>
      </c>
      <c r="B51" s="580">
        <v>0</v>
      </c>
      <c r="C51" s="580">
        <v>-100</v>
      </c>
      <c r="D51" s="580">
        <v>-100</v>
      </c>
      <c r="E51" s="581"/>
      <c r="F51" s="580"/>
      <c r="G51" s="580">
        <f t="shared" si="2"/>
        <v>-100</v>
      </c>
      <c r="H51" s="580"/>
    </row>
    <row r="52" spans="1:8" ht="31.2" x14ac:dyDescent="0.3">
      <c r="A52" s="579" t="s">
        <v>1096</v>
      </c>
      <c r="B52" s="580">
        <v>0</v>
      </c>
      <c r="C52" s="580">
        <v>-100</v>
      </c>
      <c r="D52" s="580">
        <v>-100</v>
      </c>
      <c r="E52" s="581"/>
      <c r="F52" s="580"/>
      <c r="G52" s="580">
        <f t="shared" si="2"/>
        <v>-100</v>
      </c>
      <c r="H52" s="580"/>
    </row>
    <row r="53" spans="1:8" ht="15.6" x14ac:dyDescent="0.3">
      <c r="A53" s="579"/>
      <c r="B53" s="580"/>
      <c r="C53" s="580"/>
      <c r="D53" s="580"/>
      <c r="E53" s="581"/>
      <c r="F53" s="580"/>
      <c r="G53" s="580">
        <f t="shared" si="2"/>
        <v>0</v>
      </c>
      <c r="H53" s="580"/>
    </row>
    <row r="54" spans="1:8" ht="15.6" x14ac:dyDescent="0.3">
      <c r="A54" s="579" t="s">
        <v>1097</v>
      </c>
      <c r="B54" s="586">
        <f>SUM(B15:B52)</f>
        <v>-26299.510000000002</v>
      </c>
      <c r="C54" s="586">
        <f>SUM(C15:C52)</f>
        <v>-22423</v>
      </c>
      <c r="D54" s="586">
        <f>SUM(D15:D52)</f>
        <v>-29891.487499999999</v>
      </c>
      <c r="E54" s="581"/>
      <c r="F54" s="586">
        <f>SUM(F15:F53)</f>
        <v>-4790</v>
      </c>
      <c r="G54" s="586">
        <f>SUM(G15:G53)</f>
        <v>-21700</v>
      </c>
      <c r="H54" s="586">
        <f>SUM(H15:H53)</f>
        <v>-3401.4874999999997</v>
      </c>
    </row>
    <row r="55" spans="1:8" ht="15.6" x14ac:dyDescent="0.3">
      <c r="A55" s="579"/>
      <c r="B55" s="580"/>
      <c r="C55" s="580"/>
      <c r="D55" s="580"/>
      <c r="E55" s="581"/>
      <c r="F55" s="580"/>
      <c r="G55" s="580"/>
      <c r="H55" s="580"/>
    </row>
    <row r="56" spans="1:8" ht="16.2" thickBot="1" x14ac:dyDescent="0.35">
      <c r="A56" s="582" t="s">
        <v>1098</v>
      </c>
      <c r="B56" s="583">
        <f>+B13+B54+B7</f>
        <v>7381.7799999999988</v>
      </c>
      <c r="C56" s="583">
        <f>+C13+C54+C7</f>
        <v>2963</v>
      </c>
      <c r="D56" s="583">
        <f>+D13+D54+D7</f>
        <v>2.500000000509317E-3</v>
      </c>
      <c r="E56" s="581"/>
      <c r="F56" s="583">
        <f>+F13+F54+F7</f>
        <v>1.4899999999997817</v>
      </c>
      <c r="G56" s="583">
        <f>+G13+G54+G7</f>
        <v>3400</v>
      </c>
      <c r="H56" s="583">
        <f>+H13+H54+H7</f>
        <v>-3401.4874999999997</v>
      </c>
    </row>
    <row r="57" spans="1:8" ht="16.2" thickTop="1" x14ac:dyDescent="0.3">
      <c r="A57" s="582"/>
      <c r="B57" s="580"/>
      <c r="C57" s="580"/>
      <c r="D57" s="580"/>
      <c r="E57" s="581"/>
      <c r="F57" s="580"/>
      <c r="G57" s="580"/>
      <c r="H57" s="580"/>
    </row>
    <row r="58" spans="1:8" ht="15.6" x14ac:dyDescent="0.3">
      <c r="A58" s="582"/>
      <c r="B58" s="580"/>
      <c r="C58" s="580"/>
      <c r="D58" s="580"/>
      <c r="E58" s="581"/>
      <c r="F58" s="580"/>
      <c r="G58" s="580"/>
      <c r="H58" s="580"/>
    </row>
    <row r="59" spans="1:8" ht="31.2" x14ac:dyDescent="0.3">
      <c r="A59" s="576" t="s">
        <v>4</v>
      </c>
      <c r="B59" s="588" t="s">
        <v>949</v>
      </c>
      <c r="C59" s="588" t="s">
        <v>1089</v>
      </c>
      <c r="D59" s="588" t="s">
        <v>1090</v>
      </c>
      <c r="E59" s="589"/>
      <c r="F59" s="588"/>
      <c r="G59" s="588"/>
      <c r="H59" s="588"/>
    </row>
    <row r="60" spans="1:8" ht="15.6" x14ac:dyDescent="0.3">
      <c r="A60" s="579" t="s">
        <v>60</v>
      </c>
      <c r="B60" s="580">
        <v>9345</v>
      </c>
      <c r="C60" s="580">
        <v>5500</v>
      </c>
      <c r="D60" s="580">
        <v>6500</v>
      </c>
      <c r="E60" s="581"/>
      <c r="F60" s="580"/>
      <c r="G60" s="580"/>
      <c r="H60" s="580"/>
    </row>
    <row r="61" spans="1:8" ht="15.6" x14ac:dyDescent="0.3">
      <c r="A61" s="579" t="s">
        <v>61</v>
      </c>
      <c r="B61" s="585">
        <v>17790.5</v>
      </c>
      <c r="C61" s="580">
        <v>14500</v>
      </c>
      <c r="D61" s="580">
        <v>18600</v>
      </c>
      <c r="E61" s="581"/>
      <c r="F61" s="580"/>
      <c r="G61" s="580"/>
      <c r="H61" s="580"/>
    </row>
    <row r="62" spans="1:8" ht="15.6" x14ac:dyDescent="0.3">
      <c r="A62" s="590" t="s">
        <v>1099</v>
      </c>
      <c r="B62" s="586">
        <f>SUM(B60:B61)</f>
        <v>27135.5</v>
      </c>
      <c r="C62" s="586">
        <f t="shared" ref="C62:D62" si="3">SUM(C60:C61)</f>
        <v>20000</v>
      </c>
      <c r="D62" s="586">
        <f t="shared" si="3"/>
        <v>25100</v>
      </c>
      <c r="E62" s="581"/>
      <c r="F62" s="580"/>
      <c r="G62" s="580"/>
      <c r="H62" s="580"/>
    </row>
    <row r="63" spans="1:8" ht="15.6" x14ac:dyDescent="0.3">
      <c r="A63" s="590"/>
      <c r="B63" s="580"/>
      <c r="C63" s="580"/>
      <c r="D63" s="580"/>
      <c r="E63" s="581"/>
      <c r="F63" s="580"/>
      <c r="G63" s="580"/>
      <c r="H63" s="580"/>
    </row>
    <row r="64" spans="1:8" ht="15.6" x14ac:dyDescent="0.3">
      <c r="A64" s="579" t="s">
        <v>62</v>
      </c>
      <c r="B64" s="580">
        <v>0</v>
      </c>
      <c r="C64" s="580">
        <v>-100</v>
      </c>
      <c r="D64" s="580">
        <v>-100</v>
      </c>
      <c r="E64" s="581"/>
      <c r="F64" s="580"/>
      <c r="G64" s="580"/>
      <c r="H64" s="580"/>
    </row>
    <row r="65" spans="1:8" ht="15.6" x14ac:dyDescent="0.3">
      <c r="A65" s="579" t="s">
        <v>63</v>
      </c>
      <c r="B65" s="580">
        <v>0</v>
      </c>
      <c r="C65" s="580">
        <v>-100</v>
      </c>
      <c r="D65" s="580">
        <v>-100</v>
      </c>
      <c r="E65" s="581"/>
      <c r="F65" s="580"/>
      <c r="G65" s="580"/>
      <c r="H65" s="580"/>
    </row>
    <row r="66" spans="1:8" ht="15.6" x14ac:dyDescent="0.3">
      <c r="A66" s="579" t="s">
        <v>64</v>
      </c>
      <c r="B66" s="580">
        <v>-50</v>
      </c>
      <c r="C66" s="580">
        <v>-50</v>
      </c>
      <c r="D66" s="580">
        <v>-50</v>
      </c>
      <c r="E66" s="581"/>
      <c r="F66" s="580"/>
      <c r="G66" s="580"/>
      <c r="H66" s="580"/>
    </row>
    <row r="67" spans="1:8" ht="15.6" x14ac:dyDescent="0.3">
      <c r="A67" s="579" t="s">
        <v>65</v>
      </c>
      <c r="B67" s="580">
        <v>-50</v>
      </c>
      <c r="C67" s="580">
        <v>-50</v>
      </c>
      <c r="D67" s="580">
        <v>-50</v>
      </c>
      <c r="E67" s="581"/>
      <c r="F67" s="580"/>
      <c r="G67" s="580"/>
      <c r="H67" s="580"/>
    </row>
    <row r="68" spans="1:8" ht="15.6" x14ac:dyDescent="0.3">
      <c r="A68" s="579" t="s">
        <v>66</v>
      </c>
      <c r="B68" s="580">
        <v>-5098</v>
      </c>
      <c r="C68" s="580">
        <v>-4500</v>
      </c>
      <c r="D68" s="580">
        <v>-6000</v>
      </c>
      <c r="E68" s="581"/>
      <c r="F68" s="580"/>
      <c r="G68" s="580"/>
      <c r="H68" s="580"/>
    </row>
    <row r="69" spans="1:8" ht="15.6" x14ac:dyDescent="0.3">
      <c r="A69" s="579" t="s">
        <v>67</v>
      </c>
      <c r="B69" s="580">
        <v>-4288</v>
      </c>
      <c r="C69" s="580">
        <v>-3865</v>
      </c>
      <c r="D69" s="580">
        <v>-5000</v>
      </c>
      <c r="E69" s="581"/>
      <c r="F69" s="580"/>
      <c r="G69" s="580"/>
      <c r="H69" s="580"/>
    </row>
    <row r="70" spans="1:8" ht="15.6" x14ac:dyDescent="0.3">
      <c r="A70" s="579" t="s">
        <v>918</v>
      </c>
      <c r="B70" s="580">
        <v>-160</v>
      </c>
      <c r="C70" s="580">
        <v>-135</v>
      </c>
      <c r="D70" s="580">
        <v>-100</v>
      </c>
      <c r="E70" s="581"/>
      <c r="F70" s="580"/>
      <c r="G70" s="580"/>
      <c r="H70" s="580"/>
    </row>
    <row r="71" spans="1:8" ht="15.6" x14ac:dyDescent="0.3">
      <c r="A71" s="579" t="s">
        <v>68</v>
      </c>
      <c r="B71" s="580">
        <v>-943</v>
      </c>
      <c r="C71" s="580">
        <v>-1000</v>
      </c>
      <c r="D71" s="580">
        <v>-1000</v>
      </c>
      <c r="E71" s="581"/>
      <c r="F71" s="580"/>
      <c r="G71" s="580"/>
      <c r="H71" s="580"/>
    </row>
    <row r="72" spans="1:8" ht="15.6" x14ac:dyDescent="0.3">
      <c r="A72" s="579" t="s">
        <v>69</v>
      </c>
      <c r="B72" s="580">
        <v>-7201</v>
      </c>
      <c r="C72" s="580">
        <v>-5600</v>
      </c>
      <c r="D72" s="580">
        <v>-8000</v>
      </c>
      <c r="E72" s="581"/>
      <c r="F72" s="580"/>
      <c r="G72" s="580"/>
      <c r="H72" s="580"/>
    </row>
    <row r="73" spans="1:8" ht="15.6" x14ac:dyDescent="0.3">
      <c r="A73" s="579" t="s">
        <v>920</v>
      </c>
      <c r="B73" s="580">
        <v>-487</v>
      </c>
      <c r="C73" s="580">
        <v>-550</v>
      </c>
      <c r="D73" s="580">
        <v>-500</v>
      </c>
      <c r="E73" s="581"/>
      <c r="F73" s="580"/>
      <c r="G73" s="580"/>
      <c r="H73" s="580"/>
    </row>
    <row r="74" spans="1:8" ht="15.6" x14ac:dyDescent="0.3">
      <c r="A74" s="579" t="s">
        <v>919</v>
      </c>
      <c r="B74" s="580">
        <v>-275</v>
      </c>
      <c r="C74" s="580">
        <v>-360</v>
      </c>
      <c r="D74" s="580">
        <v>-300</v>
      </c>
      <c r="E74" s="581"/>
      <c r="F74" s="580"/>
      <c r="G74" s="580"/>
      <c r="H74" s="580"/>
    </row>
    <row r="75" spans="1:8" ht="15.6" x14ac:dyDescent="0.3">
      <c r="A75" s="579" t="s">
        <v>71</v>
      </c>
      <c r="B75" s="580">
        <v>-30</v>
      </c>
      <c r="C75" s="580">
        <v>-50</v>
      </c>
      <c r="D75" s="580">
        <v>-50</v>
      </c>
      <c r="E75" s="581"/>
      <c r="F75" s="580"/>
      <c r="G75" s="580"/>
      <c r="H75" s="580"/>
    </row>
    <row r="76" spans="1:8" ht="15.6" x14ac:dyDescent="0.3">
      <c r="A76" s="579" t="s">
        <v>72</v>
      </c>
      <c r="B76" s="580">
        <v>-250</v>
      </c>
      <c r="C76" s="580">
        <v>-250</v>
      </c>
      <c r="D76" s="580">
        <v>-250</v>
      </c>
      <c r="E76" s="581"/>
      <c r="F76" s="580"/>
      <c r="G76" s="580"/>
      <c r="H76" s="580"/>
    </row>
    <row r="77" spans="1:8" ht="15.6" x14ac:dyDescent="0.3">
      <c r="A77" s="579" t="s">
        <v>73</v>
      </c>
      <c r="B77" s="580">
        <v>0</v>
      </c>
      <c r="C77" s="580">
        <v>-100</v>
      </c>
      <c r="D77" s="580">
        <v>-100</v>
      </c>
      <c r="E77" s="581"/>
      <c r="F77" s="580"/>
      <c r="G77" s="580"/>
      <c r="H77" s="580"/>
    </row>
    <row r="78" spans="1:8" ht="31.2" x14ac:dyDescent="0.3">
      <c r="A78" s="579" t="s">
        <v>1083</v>
      </c>
      <c r="B78" s="580"/>
      <c r="C78" s="580">
        <v>-100</v>
      </c>
      <c r="D78" s="580">
        <v>-100</v>
      </c>
      <c r="E78" s="581"/>
      <c r="F78" s="580"/>
      <c r="G78" s="580"/>
      <c r="H78" s="580"/>
    </row>
    <row r="79" spans="1:8" ht="15.6" x14ac:dyDescent="0.3">
      <c r="A79" s="590" t="s">
        <v>1100</v>
      </c>
      <c r="B79" s="586">
        <f>SUM(B64:B78)</f>
        <v>-18832</v>
      </c>
      <c r="C79" s="586">
        <f t="shared" ref="C79:D79" si="4">SUM(C64:C78)</f>
        <v>-16810</v>
      </c>
      <c r="D79" s="586">
        <f t="shared" si="4"/>
        <v>-21700</v>
      </c>
      <c r="E79" s="581"/>
      <c r="F79" s="580"/>
      <c r="G79" s="580"/>
      <c r="H79" s="580"/>
    </row>
    <row r="80" spans="1:8" ht="15.6" x14ac:dyDescent="0.3">
      <c r="A80" s="590"/>
      <c r="B80" s="580"/>
      <c r="C80" s="580"/>
      <c r="D80" s="580"/>
      <c r="E80" s="581"/>
      <c r="F80" s="580"/>
      <c r="G80" s="580"/>
      <c r="H80" s="580"/>
    </row>
    <row r="81" spans="1:8" ht="16.2" thickBot="1" x14ac:dyDescent="0.35">
      <c r="A81" s="590" t="s">
        <v>1101</v>
      </c>
      <c r="B81" s="583">
        <f>+B62+B79</f>
        <v>8303.5</v>
      </c>
      <c r="C81" s="583">
        <f t="shared" ref="C81:D81" si="5">+C62+C79</f>
        <v>3190</v>
      </c>
      <c r="D81" s="583">
        <f t="shared" si="5"/>
        <v>3400</v>
      </c>
      <c r="E81" s="581"/>
      <c r="F81" s="580"/>
      <c r="G81" s="580"/>
      <c r="H81" s="580"/>
    </row>
    <row r="82" spans="1:8" ht="14.4" thickTop="1" x14ac:dyDescent="0.3"/>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9665C-2031-4C02-8AAB-1DCFCD194B52}">
  <sheetPr>
    <tabColor rgb="FF00B0F0"/>
    <pageSetUpPr fitToPage="1"/>
  </sheetPr>
  <dimension ref="A1:T546"/>
  <sheetViews>
    <sheetView showGridLines="0" showRuler="0" zoomScale="93" zoomScaleNormal="93" workbookViewId="0">
      <selection activeCell="J7" sqref="J7"/>
    </sheetView>
  </sheetViews>
  <sheetFormatPr defaultColWidth="9.109375" defaultRowHeight="13.8" x14ac:dyDescent="0.3"/>
  <cols>
    <col min="1" max="1" width="5.44140625" style="96" customWidth="1"/>
    <col min="2" max="2" width="26.44140625" style="96" customWidth="1"/>
    <col min="3" max="4" width="13.33203125" style="96" customWidth="1"/>
    <col min="5" max="5" width="14.88671875" style="96" bestFit="1" customWidth="1"/>
    <col min="6" max="6" width="13.33203125" style="96" customWidth="1"/>
    <col min="7" max="7" width="3" style="96" customWidth="1"/>
    <col min="8" max="8" width="11" style="87" customWidth="1"/>
    <col min="9" max="9" width="11" style="440" customWidth="1"/>
    <col min="10" max="10" width="26" style="87" bestFit="1" customWidth="1"/>
    <col min="11" max="11" width="29.109375" style="87" customWidth="1"/>
    <col min="12" max="12" width="22.6640625" style="87" bestFit="1" customWidth="1"/>
    <col min="13" max="13" width="11" style="87" customWidth="1"/>
    <col min="14" max="15" width="11" style="99" customWidth="1"/>
    <col min="16" max="16" width="11" style="440" customWidth="1"/>
    <col min="17" max="17" width="11" style="436" customWidth="1"/>
    <col min="18" max="18" width="10.33203125" style="440" customWidth="1"/>
    <col min="19" max="19" width="9.109375" style="96"/>
    <col min="20" max="20" width="10" style="96" bestFit="1" customWidth="1"/>
    <col min="21" max="16384" width="9.109375" style="96"/>
  </cols>
  <sheetData>
    <row r="1" spans="2:18" x14ac:dyDescent="0.3">
      <c r="C1" s="420"/>
      <c r="D1" s="420"/>
      <c r="E1" s="420"/>
      <c r="F1" s="420"/>
      <c r="G1" s="420"/>
      <c r="H1" s="421" t="s">
        <v>955</v>
      </c>
      <c r="I1" s="423"/>
      <c r="J1" s="421"/>
      <c r="K1" s="421"/>
      <c r="L1" s="422"/>
      <c r="M1" s="422" t="s">
        <v>440</v>
      </c>
      <c r="N1" s="423">
        <f ca="1">NOW()</f>
        <v>44534.888377430558</v>
      </c>
      <c r="O1" s="432"/>
      <c r="P1" s="437"/>
      <c r="Q1" s="434"/>
      <c r="R1" s="437"/>
    </row>
    <row r="2" spans="2:18" ht="27.6" x14ac:dyDescent="0.3">
      <c r="B2" s="420"/>
      <c r="C2" s="420"/>
      <c r="D2" s="420"/>
      <c r="E2" s="420"/>
      <c r="F2" s="420"/>
      <c r="G2" s="420"/>
      <c r="H2" s="303" t="s">
        <v>12</v>
      </c>
      <c r="I2" s="438" t="s">
        <v>1</v>
      </c>
      <c r="J2" s="303" t="s">
        <v>1070</v>
      </c>
      <c r="K2" s="303" t="s">
        <v>2</v>
      </c>
      <c r="L2" s="303" t="s">
        <v>4</v>
      </c>
      <c r="M2" s="303" t="s">
        <v>21</v>
      </c>
      <c r="N2" s="450" t="s">
        <v>11</v>
      </c>
      <c r="O2" s="433" t="s">
        <v>407</v>
      </c>
      <c r="P2" s="438" t="s">
        <v>406</v>
      </c>
      <c r="Q2" s="435" t="s">
        <v>408</v>
      </c>
      <c r="R2" s="438" t="s">
        <v>625</v>
      </c>
    </row>
    <row r="3" spans="2:18" ht="14.4" customHeight="1" x14ac:dyDescent="0.3">
      <c r="B3" s="420"/>
      <c r="C3" s="420"/>
      <c r="D3" s="420"/>
      <c r="E3" s="420"/>
      <c r="F3" s="420"/>
      <c r="G3" s="420"/>
      <c r="H3" s="286"/>
      <c r="I3" s="383">
        <v>44197</v>
      </c>
      <c r="J3" s="285" t="s">
        <v>5</v>
      </c>
      <c r="K3" s="285"/>
      <c r="L3" s="285" t="s">
        <v>5</v>
      </c>
      <c r="M3" s="446"/>
      <c r="N3" s="496">
        <v>13364.79</v>
      </c>
      <c r="O3" s="451">
        <f>+CkReg16_1815171521[[#This Row],[Deposit]]</f>
        <v>13364.79</v>
      </c>
      <c r="P3" s="376">
        <v>44197</v>
      </c>
      <c r="Q3" s="457">
        <v>13364.79</v>
      </c>
      <c r="R3" s="376">
        <v>1</v>
      </c>
    </row>
    <row r="4" spans="2:18" ht="14.4" customHeight="1" x14ac:dyDescent="0.3">
      <c r="B4" s="420"/>
      <c r="C4" s="420"/>
      <c r="D4" s="420"/>
      <c r="E4" s="420"/>
      <c r="F4" s="420"/>
      <c r="G4" s="420"/>
      <c r="H4" s="286"/>
      <c r="I4" s="383">
        <v>44197</v>
      </c>
      <c r="J4" s="285"/>
      <c r="K4" s="285" t="s">
        <v>1003</v>
      </c>
      <c r="L4" s="285" t="s">
        <v>5</v>
      </c>
      <c r="M4" s="446"/>
      <c r="N4" s="496">
        <v>-31.85</v>
      </c>
      <c r="O4" s="451">
        <f>IF(ISBLANK(CkReg16_1815171521[[#This Row],[Withdrawal]]),O3+CkReg16_1815171521[[#This Row],[Deposit]],O3-CkReg16_1815171521[[#This Row],[Withdrawal]])</f>
        <v>13332.94</v>
      </c>
      <c r="P4" s="376">
        <v>44197</v>
      </c>
      <c r="Q4" s="451">
        <f>IF(ISBLANK(CkReg16_1815171521[[#This Row],[Withdrawal]]),Q3+CkReg16_1815171521[[#This Row],[Deposit]],Q3-CkReg16_1815171521[[#This Row],[Withdrawal]])</f>
        <v>13332.94</v>
      </c>
      <c r="R4" s="376">
        <v>1</v>
      </c>
    </row>
    <row r="5" spans="2:18" ht="14.4" customHeight="1" x14ac:dyDescent="0.3">
      <c r="B5" s="420"/>
      <c r="C5" s="420"/>
      <c r="D5" s="420"/>
      <c r="E5" s="420"/>
      <c r="F5" s="420"/>
      <c r="G5" s="420"/>
      <c r="H5" s="286"/>
      <c r="I5" s="383">
        <v>44197</v>
      </c>
      <c r="J5" s="285"/>
      <c r="K5" s="285" t="s">
        <v>1003</v>
      </c>
      <c r="L5" s="285" t="s">
        <v>5</v>
      </c>
      <c r="M5" s="446"/>
      <c r="N5" s="496">
        <v>-19.12</v>
      </c>
      <c r="O5" s="451">
        <f>IF(ISBLANK(CkReg16_1815171521[[#This Row],[Withdrawal]]),O4+CkReg16_1815171521[[#This Row],[Deposit]],O4-CkReg16_1815171521[[#This Row],[Withdrawal]])</f>
        <v>13313.82</v>
      </c>
      <c r="P5" s="376">
        <v>44197</v>
      </c>
      <c r="Q5" s="451">
        <f>IF(ISBLANK(CkReg16_1815171521[[#This Row],[Withdrawal]]),Q4+CkReg16_1815171521[[#This Row],[Deposit]],Q4-CkReg16_1815171521[[#This Row],[Withdrawal]])</f>
        <v>13313.82</v>
      </c>
      <c r="R5" s="376">
        <v>1</v>
      </c>
    </row>
    <row r="6" spans="2:18" ht="14.4" customHeight="1" x14ac:dyDescent="0.3">
      <c r="B6" s="420"/>
      <c r="C6" s="420"/>
      <c r="D6" s="420"/>
      <c r="E6" s="420"/>
      <c r="F6" s="420"/>
      <c r="G6" s="420"/>
      <c r="H6" s="286"/>
      <c r="I6" s="383">
        <v>44197</v>
      </c>
      <c r="J6" s="285"/>
      <c r="K6" s="285" t="s">
        <v>1003</v>
      </c>
      <c r="L6" s="285" t="s">
        <v>982</v>
      </c>
      <c r="M6" s="446"/>
      <c r="N6" s="496">
        <v>19.12</v>
      </c>
      <c r="O6" s="451">
        <f>IF(ISBLANK(CkReg16_1815171521[[#This Row],[Withdrawal]]),O5+CkReg16_1815171521[[#This Row],[Deposit]],O5-CkReg16_1815171521[[#This Row],[Withdrawal]])</f>
        <v>13332.94</v>
      </c>
      <c r="P6" s="376">
        <v>44197</v>
      </c>
      <c r="Q6" s="451">
        <f>IF(ISBLANK(CkReg16_1815171521[[#This Row],[Withdrawal]]),Q5+CkReg16_1815171521[[#This Row],[Deposit]],Q5-CkReg16_1815171521[[#This Row],[Withdrawal]])</f>
        <v>13332.94</v>
      </c>
      <c r="R6" s="376">
        <v>1</v>
      </c>
    </row>
    <row r="7" spans="2:18" ht="14.4" customHeight="1" x14ac:dyDescent="0.3">
      <c r="B7" s="420"/>
      <c r="C7" s="420"/>
      <c r="D7" s="420"/>
      <c r="E7" s="420"/>
      <c r="F7" s="420"/>
      <c r="G7" s="420"/>
      <c r="H7" s="286"/>
      <c r="I7" s="383">
        <v>44197</v>
      </c>
      <c r="J7" s="285"/>
      <c r="K7" s="285" t="s">
        <v>1003</v>
      </c>
      <c r="L7" s="285" t="s">
        <v>392</v>
      </c>
      <c r="M7" s="446"/>
      <c r="N7" s="496">
        <v>31.85</v>
      </c>
      <c r="O7" s="451">
        <f>IF(ISBLANK(CkReg16_1815171521[[#This Row],[Withdrawal]]),O6+CkReg16_1815171521[[#This Row],[Deposit]],O6-CkReg16_1815171521[[#This Row],[Withdrawal]])</f>
        <v>13364.79</v>
      </c>
      <c r="P7" s="376">
        <v>44197</v>
      </c>
      <c r="Q7" s="451">
        <f>IF(ISBLANK(CkReg16_1815171521[[#This Row],[Withdrawal]]),Q6+CkReg16_1815171521[[#This Row],[Deposit]],Q6-CkReg16_1815171521[[#This Row],[Withdrawal]])</f>
        <v>13364.79</v>
      </c>
      <c r="R7" s="376">
        <v>1</v>
      </c>
    </row>
    <row r="8" spans="2:18" ht="14.4" customHeight="1" x14ac:dyDescent="0.3">
      <c r="B8" s="420"/>
      <c r="C8" s="420"/>
      <c r="D8" s="420"/>
      <c r="E8" s="420"/>
      <c r="F8" s="420"/>
      <c r="G8" s="420"/>
      <c r="H8" s="286"/>
      <c r="I8" s="383">
        <v>44197</v>
      </c>
      <c r="J8" s="285"/>
      <c r="K8" s="285"/>
      <c r="L8" s="285" t="s">
        <v>55</v>
      </c>
      <c r="M8" s="446">
        <v>3000</v>
      </c>
      <c r="N8" s="496"/>
      <c r="O8" s="451">
        <f>IF(ISBLANK(CkReg16_1815171521[[#This Row],[Withdrawal]]),O7+CkReg16_1815171521[[#This Row],[Deposit]],O7-CkReg16_1815171521[[#This Row],[Withdrawal]])</f>
        <v>10364.790000000001</v>
      </c>
      <c r="P8" s="376">
        <v>44197</v>
      </c>
      <c r="Q8" s="451">
        <v>13364.79</v>
      </c>
      <c r="R8" s="376">
        <v>1</v>
      </c>
    </row>
    <row r="9" spans="2:18" ht="14.4" customHeight="1" x14ac:dyDescent="0.3">
      <c r="B9" s="420"/>
      <c r="C9" s="420"/>
      <c r="D9" s="420"/>
      <c r="E9" s="420"/>
      <c r="F9" s="420"/>
      <c r="G9" s="420"/>
      <c r="H9" s="286"/>
      <c r="I9" s="383">
        <v>44197</v>
      </c>
      <c r="J9" s="285"/>
      <c r="K9" s="285"/>
      <c r="L9" s="285" t="s">
        <v>56</v>
      </c>
      <c r="M9" s="446">
        <v>4000</v>
      </c>
      <c r="N9" s="496"/>
      <c r="O9" s="451">
        <f>IF(ISBLANK(CkReg16_1815171521[[#This Row],[Withdrawal]]),O8+CkReg16_1815171521[[#This Row],[Deposit]],O8-CkReg16_1815171521[[#This Row],[Withdrawal]])</f>
        <v>6364.7900000000009</v>
      </c>
      <c r="P9" s="376">
        <v>44197</v>
      </c>
      <c r="Q9" s="451">
        <v>13364.79</v>
      </c>
      <c r="R9" s="376">
        <v>1</v>
      </c>
    </row>
    <row r="10" spans="2:18" ht="14.4" customHeight="1" x14ac:dyDescent="0.3">
      <c r="B10" s="420"/>
      <c r="C10" s="420"/>
      <c r="D10" s="420"/>
      <c r="E10" s="420"/>
      <c r="F10" s="420"/>
      <c r="G10" s="420"/>
      <c r="H10" s="286"/>
      <c r="I10" s="383">
        <v>44197</v>
      </c>
      <c r="J10" s="285"/>
      <c r="K10" s="285"/>
      <c r="L10" s="285" t="s">
        <v>703</v>
      </c>
      <c r="M10" s="446">
        <v>1715</v>
      </c>
      <c r="N10" s="496"/>
      <c r="O10" s="451">
        <f>IF(ISBLANK(CkReg16_1815171521[[#This Row],[Withdrawal]]),O9+CkReg16_1815171521[[#This Row],[Deposit]],O9-CkReg16_1815171521[[#This Row],[Withdrawal]])</f>
        <v>4649.7900000000009</v>
      </c>
      <c r="P10" s="376">
        <v>44197</v>
      </c>
      <c r="Q10" s="451">
        <v>13364.79</v>
      </c>
      <c r="R10" s="376">
        <v>44197</v>
      </c>
    </row>
    <row r="11" spans="2:18" ht="14.4" customHeight="1" x14ac:dyDescent="0.3">
      <c r="B11" s="420"/>
      <c r="C11" s="420"/>
      <c r="D11" s="420"/>
      <c r="E11" s="420"/>
      <c r="F11" s="420"/>
      <c r="G11" s="420"/>
      <c r="H11" s="499"/>
      <c r="I11" s="500">
        <v>44199</v>
      </c>
      <c r="J11" s="501"/>
      <c r="K11" s="501" t="s">
        <v>1005</v>
      </c>
      <c r="L11" s="501" t="s">
        <v>392</v>
      </c>
      <c r="M11" s="502"/>
      <c r="N11" s="503">
        <v>-0.45</v>
      </c>
      <c r="O11" s="451">
        <f>IF(ISBLANK(CkReg16_1815171521[[#This Row],[Withdrawal]]),O10+CkReg16_1815171521[[#This Row],[Deposit]],O10-CkReg16_1815171521[[#This Row],[Withdrawal]])</f>
        <v>4649.3400000000011</v>
      </c>
      <c r="P11" s="504">
        <v>44200</v>
      </c>
      <c r="Q11" s="451">
        <f>IF(ISBLANK(CkReg16_1815171521[[#This Row],[Withdrawal]]),Q10+CkReg16_1815171521[[#This Row],[Deposit]],Q10-CkReg16_1815171521[[#This Row],[Withdrawal]])</f>
        <v>13364.34</v>
      </c>
      <c r="R11" s="504">
        <v>1</v>
      </c>
    </row>
    <row r="12" spans="2:18" ht="14.4" customHeight="1" x14ac:dyDescent="0.3">
      <c r="B12" s="420"/>
      <c r="C12" s="420"/>
      <c r="D12" s="420"/>
      <c r="E12" s="420"/>
      <c r="F12" s="420"/>
      <c r="G12" s="420"/>
      <c r="H12" s="499"/>
      <c r="I12" s="500">
        <v>44199</v>
      </c>
      <c r="J12" s="501"/>
      <c r="K12" s="501" t="s">
        <v>1005</v>
      </c>
      <c r="L12" s="501" t="s">
        <v>392</v>
      </c>
      <c r="M12" s="502"/>
      <c r="N12" s="503">
        <v>-0.45</v>
      </c>
      <c r="O12" s="451">
        <f>IF(ISBLANK(CkReg16_1815171521[[#This Row],[Withdrawal]]),O11+CkReg16_1815171521[[#This Row],[Deposit]],O11-CkReg16_1815171521[[#This Row],[Withdrawal]])</f>
        <v>4648.8900000000012</v>
      </c>
      <c r="P12" s="504">
        <v>44200</v>
      </c>
      <c r="Q12" s="451">
        <f>IF(ISBLANK(CkReg16_1815171521[[#This Row],[Withdrawal]]),Q11+CkReg16_1815171521[[#This Row],[Deposit]],Q11-CkReg16_1815171521[[#This Row],[Withdrawal]])</f>
        <v>13363.89</v>
      </c>
      <c r="R12" s="504">
        <v>1</v>
      </c>
    </row>
    <row r="13" spans="2:18" ht="13.65" customHeight="1" x14ac:dyDescent="0.3">
      <c r="B13" s="420"/>
      <c r="C13" s="420"/>
      <c r="D13" s="420"/>
      <c r="E13" s="420"/>
      <c r="F13" s="420"/>
      <c r="G13" s="420"/>
      <c r="H13" s="499"/>
      <c r="I13" s="500">
        <v>44199</v>
      </c>
      <c r="J13" s="501"/>
      <c r="K13" s="501" t="s">
        <v>1005</v>
      </c>
      <c r="L13" s="501" t="s">
        <v>392</v>
      </c>
      <c r="M13" s="502"/>
      <c r="N13" s="503">
        <v>-0.45</v>
      </c>
      <c r="O13" s="451">
        <f>IF(ISBLANK(CkReg16_1815171521[[#This Row],[Withdrawal]]),O12+CkReg16_1815171521[[#This Row],[Deposit]],O12-CkReg16_1815171521[[#This Row],[Withdrawal]])</f>
        <v>4648.4400000000014</v>
      </c>
      <c r="P13" s="504">
        <v>44200</v>
      </c>
      <c r="Q13" s="451">
        <f>IF(ISBLANK(CkReg16_1815171521[[#This Row],[Withdrawal]]),Q12+CkReg16_1815171521[[#This Row],[Deposit]],Q12-CkReg16_1815171521[[#This Row],[Withdrawal]])</f>
        <v>13363.439999999999</v>
      </c>
      <c r="R13" s="504">
        <v>1</v>
      </c>
    </row>
    <row r="14" spans="2:18" ht="14.4" customHeight="1" x14ac:dyDescent="0.3">
      <c r="B14" s="424" t="s">
        <v>439</v>
      </c>
      <c r="C14" s="425"/>
      <c r="D14" s="426" t="s">
        <v>440</v>
      </c>
      <c r="E14" s="426"/>
      <c r="F14" s="427">
        <f ca="1">NOW()</f>
        <v>44534.888377430558</v>
      </c>
      <c r="G14" s="420"/>
      <c r="H14" s="499"/>
      <c r="I14" s="500">
        <v>44199</v>
      </c>
      <c r="J14" s="501"/>
      <c r="K14" s="501" t="s">
        <v>1004</v>
      </c>
      <c r="L14" s="501" t="s">
        <v>392</v>
      </c>
      <c r="M14" s="502"/>
      <c r="N14" s="503">
        <v>5</v>
      </c>
      <c r="O14" s="451">
        <f>IF(ISBLANK(CkReg16_1815171521[[#This Row],[Withdrawal]]),O13+CkReg16_1815171521[[#This Row],[Deposit]],O13-CkReg16_1815171521[[#This Row],[Withdrawal]])</f>
        <v>4653.4400000000014</v>
      </c>
      <c r="P14" s="504">
        <v>44200</v>
      </c>
      <c r="Q14" s="451">
        <f>IF(ISBLANK(CkReg16_1815171521[[#This Row],[Withdrawal]]),Q13+CkReg16_1815171521[[#This Row],[Deposit]],Q13-CkReg16_1815171521[[#This Row],[Withdrawal]])</f>
        <v>13368.439999999999</v>
      </c>
      <c r="R14" s="504">
        <v>1</v>
      </c>
    </row>
    <row r="15" spans="2:18" ht="14.4" customHeight="1" x14ac:dyDescent="0.3">
      <c r="B15" s="420"/>
      <c r="C15" s="420"/>
      <c r="D15" s="420"/>
      <c r="E15" s="420"/>
      <c r="F15" s="420"/>
      <c r="G15" s="428"/>
      <c r="H15" s="499"/>
      <c r="I15" s="500">
        <v>44199</v>
      </c>
      <c r="J15" s="501"/>
      <c r="K15" s="501" t="s">
        <v>1004</v>
      </c>
      <c r="L15" s="501" t="s">
        <v>392</v>
      </c>
      <c r="M15" s="502"/>
      <c r="N15" s="503">
        <v>5</v>
      </c>
      <c r="O15" s="451">
        <f>IF(ISBLANK(CkReg16_1815171521[[#This Row],[Withdrawal]]),O14+CkReg16_1815171521[[#This Row],[Deposit]],O14-CkReg16_1815171521[[#This Row],[Withdrawal]])</f>
        <v>4658.4400000000014</v>
      </c>
      <c r="P15" s="504">
        <v>44200</v>
      </c>
      <c r="Q15" s="451">
        <f>IF(ISBLANK(CkReg16_1815171521[[#This Row],[Withdrawal]]),Q14+CkReg16_1815171521[[#This Row],[Deposit]],Q14-CkReg16_1815171521[[#This Row],[Withdrawal]])</f>
        <v>13373.439999999999</v>
      </c>
      <c r="R15" s="504">
        <v>1</v>
      </c>
    </row>
    <row r="16" spans="2:18" ht="14.4" customHeight="1" x14ac:dyDescent="0.3">
      <c r="B16" s="91" t="s">
        <v>4</v>
      </c>
      <c r="C16" s="93" t="s">
        <v>438</v>
      </c>
      <c r="D16" s="93" t="s">
        <v>75</v>
      </c>
      <c r="E16" s="93" t="s">
        <v>871</v>
      </c>
      <c r="F16" s="93" t="s">
        <v>462</v>
      </c>
      <c r="G16" s="420"/>
      <c r="H16" s="499"/>
      <c r="I16" s="500">
        <v>44199</v>
      </c>
      <c r="J16" s="501"/>
      <c r="K16" s="501" t="s">
        <v>1004</v>
      </c>
      <c r="L16" s="501" t="s">
        <v>392</v>
      </c>
      <c r="M16" s="502"/>
      <c r="N16" s="503">
        <v>5</v>
      </c>
      <c r="O16" s="451">
        <f>IF(ISBLANK(CkReg16_1815171521[[#This Row],[Withdrawal]]),O15+CkReg16_1815171521[[#This Row],[Deposit]],O15-CkReg16_1815171521[[#This Row],[Withdrawal]])</f>
        <v>4663.4400000000014</v>
      </c>
      <c r="P16" s="504">
        <v>44200</v>
      </c>
      <c r="Q16" s="451">
        <f>IF(ISBLANK(CkReg16_1815171521[[#This Row],[Withdrawal]]),Q15+CkReg16_1815171521[[#This Row],[Deposit]],Q15-CkReg16_1815171521[[#This Row],[Withdrawal]])</f>
        <v>13378.439999999999</v>
      </c>
      <c r="R16" s="504">
        <v>1</v>
      </c>
    </row>
    <row r="17" spans="2:18" x14ac:dyDescent="0.3">
      <c r="B17" s="94" t="s">
        <v>5</v>
      </c>
      <c r="C17" s="95">
        <f>SUMIF(CkReg16_1815171521[Category],"=" &amp;CategoryTable812101416181622[[#This Row],[Category]],CkReg16_1815171521[Deposit])</f>
        <v>13313.82</v>
      </c>
      <c r="D17" s="95">
        <v>12826.13</v>
      </c>
      <c r="E17" s="95">
        <v>538.66</v>
      </c>
      <c r="F17" s="95">
        <f>-CategoryTable812101416181622[[#This Row],[Budget]]-CategoryTable812101416181622[[#This Row],[Amended Budget]]+CategoryTable812101416181622[[#This Row],[Actual to date]]</f>
        <v>-50.969999999999345</v>
      </c>
      <c r="H17" s="499"/>
      <c r="I17" s="500">
        <v>44200</v>
      </c>
      <c r="J17" s="501"/>
      <c r="K17" s="501" t="s">
        <v>1005</v>
      </c>
      <c r="L17" s="501" t="s">
        <v>982</v>
      </c>
      <c r="M17" s="502"/>
      <c r="N17" s="503">
        <v>-0.59</v>
      </c>
      <c r="O17" s="451">
        <f>IF(ISBLANK(CkReg16_1815171521[[#This Row],[Withdrawal]]),O16+CkReg16_1815171521[[#This Row],[Deposit]],O16-CkReg16_1815171521[[#This Row],[Withdrawal]])</f>
        <v>4662.8500000000013</v>
      </c>
      <c r="P17" s="504">
        <v>44202</v>
      </c>
      <c r="Q17" s="451">
        <f>IF(ISBLANK(CkReg16_1815171521[[#This Row],[Withdrawal]]),Q16+CkReg16_1815171521[[#This Row],[Deposit]],Q16-CkReg16_1815171521[[#This Row],[Withdrawal]])</f>
        <v>13377.849999999999</v>
      </c>
      <c r="R17" s="504">
        <v>1</v>
      </c>
    </row>
    <row r="18" spans="2:18" x14ac:dyDescent="0.3">
      <c r="B18" s="488" t="s">
        <v>945</v>
      </c>
      <c r="C18" s="95">
        <f>+N8</f>
        <v>0</v>
      </c>
      <c r="D18" s="489">
        <v>-2963.63</v>
      </c>
      <c r="E18" s="489"/>
      <c r="F18" s="95">
        <f>-CategoryTable812101416181622[[#This Row],[Budget]]-CategoryTable812101416181622[[#This Row],[Amended Budget]]+CategoryTable812101416181622[[#This Row],[Actual to date]]</f>
        <v>2963.63</v>
      </c>
      <c r="G18" s="429"/>
      <c r="H18" s="499"/>
      <c r="I18" s="500">
        <v>44200</v>
      </c>
      <c r="J18" s="501"/>
      <c r="K18" s="501" t="s">
        <v>1005</v>
      </c>
      <c r="L18" s="501" t="s">
        <v>982</v>
      </c>
      <c r="M18" s="502"/>
      <c r="N18" s="503">
        <v>-0.45</v>
      </c>
      <c r="O18" s="451">
        <f>IF(ISBLANK(CkReg16_1815171521[[#This Row],[Withdrawal]]),O17+CkReg16_1815171521[[#This Row],[Deposit]],O17-CkReg16_1815171521[[#This Row],[Withdrawal]])</f>
        <v>4662.4000000000015</v>
      </c>
      <c r="P18" s="504">
        <v>44202</v>
      </c>
      <c r="Q18" s="451">
        <f>IF(ISBLANK(CkReg16_1815171521[[#This Row],[Withdrawal]]),Q17+CkReg16_1815171521[[#This Row],[Deposit]],Q17-CkReg16_1815171521[[#This Row],[Withdrawal]])</f>
        <v>13377.399999999998</v>
      </c>
      <c r="R18" s="504">
        <v>1</v>
      </c>
    </row>
    <row r="19" spans="2:18" x14ac:dyDescent="0.3">
      <c r="B19" s="94" t="s">
        <v>219</v>
      </c>
      <c r="C19" s="95">
        <f>SUMIF(CkReg16_1815171521[Category],"=" &amp;CategoryTable812101416181622[[#This Row],[Category]],CkReg16_1815171521[Deposit])</f>
        <v>1560.12</v>
      </c>
      <c r="D19" s="95">
        <v>775</v>
      </c>
      <c r="E19" s="95"/>
      <c r="F19" s="95">
        <f>-CategoryTable812101416181622[[#This Row],[Budget]]-CategoryTable812101416181622[[#This Row],[Amended Budget]]+CategoryTable812101416181622[[#This Row],[Actual to date]]</f>
        <v>785.11999999999989</v>
      </c>
      <c r="G19" s="93"/>
      <c r="H19" s="499"/>
      <c r="I19" s="500">
        <v>44200</v>
      </c>
      <c r="J19" s="501"/>
      <c r="K19" s="501" t="s">
        <v>1004</v>
      </c>
      <c r="L19" s="501" t="s">
        <v>982</v>
      </c>
      <c r="M19" s="502"/>
      <c r="N19" s="503">
        <v>5</v>
      </c>
      <c r="O19" s="451">
        <f>IF(ISBLANK(CkReg16_1815171521[[#This Row],[Withdrawal]]),O18+CkReg16_1815171521[[#This Row],[Deposit]],O18-CkReg16_1815171521[[#This Row],[Withdrawal]])</f>
        <v>4667.4000000000015</v>
      </c>
      <c r="P19" s="504">
        <v>44202</v>
      </c>
      <c r="Q19" s="451">
        <f>IF(ISBLANK(CkReg16_1815171521[[#This Row],[Withdrawal]]),Q18+CkReg16_1815171521[[#This Row],[Deposit]],Q18-CkReg16_1815171521[[#This Row],[Withdrawal]])</f>
        <v>13382.399999999998</v>
      </c>
      <c r="R19" s="504">
        <v>1</v>
      </c>
    </row>
    <row r="20" spans="2:18" x14ac:dyDescent="0.3">
      <c r="B20" s="488" t="s">
        <v>942</v>
      </c>
      <c r="C20" s="95">
        <f>-(SUMIF(CkReg16_1815171521[Category],"=" &amp;CategoryTable812101416181622[[#This Row],[Category]],CkReg16_1815171521[Withdrawal]))</f>
        <v>0</v>
      </c>
      <c r="D20" s="489">
        <v>0</v>
      </c>
      <c r="E20" s="489"/>
      <c r="F20" s="95">
        <f>-CategoryTable812101416181622[[#This Row],[Budget]]-CategoryTable812101416181622[[#This Row],[Amended Budget]]+CategoryTable812101416181622[[#This Row],[Actual to date]]</f>
        <v>0</v>
      </c>
      <c r="G20" s="95"/>
      <c r="H20" s="499"/>
      <c r="I20" s="500">
        <v>44200</v>
      </c>
      <c r="J20" s="501"/>
      <c r="K20" s="501" t="s">
        <v>1004</v>
      </c>
      <c r="L20" s="501" t="s">
        <v>982</v>
      </c>
      <c r="M20" s="502"/>
      <c r="N20" s="503">
        <v>10</v>
      </c>
      <c r="O20" s="451">
        <f>IF(ISBLANK(CkReg16_1815171521[[#This Row],[Withdrawal]]),O19+CkReg16_1815171521[[#This Row],[Deposit]],O19-CkReg16_1815171521[[#This Row],[Withdrawal]])</f>
        <v>4677.4000000000015</v>
      </c>
      <c r="P20" s="504">
        <v>44202</v>
      </c>
      <c r="Q20" s="451">
        <f>IF(ISBLANK(CkReg16_1815171521[[#This Row],[Withdrawal]]),Q19+CkReg16_1815171521[[#This Row],[Deposit]],Q19-CkReg16_1815171521[[#This Row],[Withdrawal]])</f>
        <v>13392.399999999998</v>
      </c>
      <c r="R20" s="504">
        <v>1</v>
      </c>
    </row>
    <row r="21" spans="2:18" x14ac:dyDescent="0.3">
      <c r="B21" s="94" t="s">
        <v>572</v>
      </c>
      <c r="C21" s="95">
        <f>-(SUMIF(CkReg16_1815171521[Category],"=" &amp;CategoryTable812101416181622[[#This Row],[Category]],CkReg16_1815171521[Withdrawal]))</f>
        <v>0</v>
      </c>
      <c r="D21" s="95">
        <v>0</v>
      </c>
      <c r="E21" s="95"/>
      <c r="F21" s="95">
        <f>-CategoryTable812101416181622[[#This Row],[Budget]]-CategoryTable812101416181622[[#This Row],[Amended Budget]]+CategoryTable812101416181622[[#This Row],[Actual to date]]</f>
        <v>0</v>
      </c>
      <c r="G21" s="95"/>
      <c r="H21" s="499"/>
      <c r="I21" s="500">
        <v>44204</v>
      </c>
      <c r="J21" s="501"/>
      <c r="K21" s="501" t="s">
        <v>358</v>
      </c>
      <c r="L21" s="501" t="s">
        <v>219</v>
      </c>
      <c r="M21" s="502"/>
      <c r="N21" s="503">
        <v>-1.03</v>
      </c>
      <c r="O21" s="451">
        <f>IF(ISBLANK(CkReg16_1815171521[[#This Row],[Withdrawal]]),O20+CkReg16_1815171521[[#This Row],[Deposit]],O20-CkReg16_1815171521[[#This Row],[Withdrawal]])</f>
        <v>4676.3700000000017</v>
      </c>
      <c r="P21" s="504">
        <v>44207</v>
      </c>
      <c r="Q21" s="451">
        <f>IF(ISBLANK(CkReg16_1815171521[[#This Row],[Withdrawal]]),Q20+CkReg16_1815171521[[#This Row],[Deposit]],Q20-CkReg16_1815171521[[#This Row],[Withdrawal]])</f>
        <v>13391.369999999997</v>
      </c>
      <c r="R21" s="376">
        <v>1</v>
      </c>
    </row>
    <row r="22" spans="2:18" x14ac:dyDescent="0.3">
      <c r="B22" s="94" t="s">
        <v>571</v>
      </c>
      <c r="C22" s="95">
        <f>SUMIF(CkReg16_1815171521[Category],"=" &amp;CategoryTable812101416181622[[#This Row],[Category]],CkReg16_1815171521[Deposit])</f>
        <v>0</v>
      </c>
      <c r="D22" s="95">
        <v>0</v>
      </c>
      <c r="E22" s="95"/>
      <c r="F22" s="95">
        <f>-CategoryTable812101416181622[[#This Row],[Budget]]-CategoryTable812101416181622[[#This Row],[Amended Budget]]+CategoryTable812101416181622[[#This Row],[Actual to date]]</f>
        <v>0</v>
      </c>
      <c r="G22" s="95"/>
      <c r="H22" s="499"/>
      <c r="I22" s="500">
        <v>44204</v>
      </c>
      <c r="J22" s="501"/>
      <c r="K22" s="501" t="s">
        <v>988</v>
      </c>
      <c r="L22" s="501" t="s">
        <v>219</v>
      </c>
      <c r="M22" s="502"/>
      <c r="N22" s="503">
        <v>25</v>
      </c>
      <c r="O22" s="451">
        <f>IF(ISBLANK(CkReg16_1815171521[[#This Row],[Withdrawal]]),O21+CkReg16_1815171521[[#This Row],[Deposit]],O21-CkReg16_1815171521[[#This Row],[Withdrawal]])</f>
        <v>4701.3700000000017</v>
      </c>
      <c r="P22" s="504">
        <v>44207</v>
      </c>
      <c r="Q22" s="451">
        <f>IF(ISBLANK(CkReg16_1815171521[[#This Row],[Withdrawal]]),Q21+CkReg16_1815171521[[#This Row],[Deposit]],Q21-CkReg16_1815171521[[#This Row],[Withdrawal]])</f>
        <v>13416.369999999997</v>
      </c>
      <c r="R22" s="376">
        <v>1</v>
      </c>
    </row>
    <row r="23" spans="2:18" x14ac:dyDescent="0.3">
      <c r="B23" s="488" t="s">
        <v>976</v>
      </c>
      <c r="C23" s="95">
        <f>SUMIF(CkReg16_1815171521[Category],"=" &amp;CategoryTable812101416181622[[#This Row],[Category]],CkReg16_1815171521[Deposit])</f>
        <v>0</v>
      </c>
      <c r="D23" s="95">
        <v>0</v>
      </c>
      <c r="E23" s="489"/>
      <c r="F23" s="95">
        <f>-CategoryTable812101416181622[[#This Row],[Budget]]-CategoryTable812101416181622[[#This Row],[Amended Budget]]+CategoryTable812101416181622[[#This Row],[Actual to date]]</f>
        <v>0</v>
      </c>
      <c r="G23" s="95"/>
      <c r="H23" s="499"/>
      <c r="I23" s="500">
        <v>44207</v>
      </c>
      <c r="J23" s="501"/>
      <c r="K23" s="501" t="s">
        <v>1005</v>
      </c>
      <c r="L23" s="501" t="s">
        <v>982</v>
      </c>
      <c r="M23" s="502"/>
      <c r="N23" s="503">
        <v>-0.59</v>
      </c>
      <c r="O23" s="451">
        <f>IF(ISBLANK(CkReg16_1815171521[[#This Row],[Withdrawal]]),O22+CkReg16_1815171521[[#This Row],[Deposit]],O22-CkReg16_1815171521[[#This Row],[Withdrawal]])</f>
        <v>4700.7800000000016</v>
      </c>
      <c r="P23" s="504">
        <v>44209</v>
      </c>
      <c r="Q23" s="451">
        <f>IF(ISBLANK(CkReg16_1815171521[[#This Row],[Withdrawal]]),Q22+CkReg16_1815171521[[#This Row],[Deposit]],Q22-CkReg16_1815171521[[#This Row],[Withdrawal]])</f>
        <v>13415.779999999997</v>
      </c>
      <c r="R23" s="376">
        <v>1</v>
      </c>
    </row>
    <row r="24" spans="2:18" x14ac:dyDescent="0.3">
      <c r="B24" s="488" t="s">
        <v>395</v>
      </c>
      <c r="C24" s="95">
        <f>SUMIF(CkReg16_1815171521[Category],"=" &amp;CategoryTable812101416181622[[#This Row],[Category]],CkReg16_1815171521[Deposit])</f>
        <v>0</v>
      </c>
      <c r="D24" s="489">
        <v>0</v>
      </c>
      <c r="E24" s="489">
        <f>+CategoryTable812101416181622[[#This Row],[Actual to date]]</f>
        <v>0</v>
      </c>
      <c r="F24" s="95">
        <f>-CategoryTable812101416181622[[#This Row],[Budget]]-CategoryTable812101416181622[[#This Row],[Amended Budget]]+CategoryTable812101416181622[[#This Row],[Actual to date]]</f>
        <v>0</v>
      </c>
      <c r="G24" s="95"/>
      <c r="H24" s="499"/>
      <c r="I24" s="500">
        <v>44207</v>
      </c>
      <c r="J24" s="501"/>
      <c r="K24" s="501" t="s">
        <v>1005</v>
      </c>
      <c r="L24" s="501" t="s">
        <v>982</v>
      </c>
      <c r="M24" s="502"/>
      <c r="N24" s="503">
        <v>-0.45</v>
      </c>
      <c r="O24" s="451">
        <f>IF(ISBLANK(CkReg16_1815171521[[#This Row],[Withdrawal]]),O23+CkReg16_1815171521[[#This Row],[Deposit]],O23-CkReg16_1815171521[[#This Row],[Withdrawal]])</f>
        <v>4700.3300000000017</v>
      </c>
      <c r="P24" s="504">
        <v>44209</v>
      </c>
      <c r="Q24" s="451">
        <f>IF(ISBLANK(CkReg16_1815171521[[#This Row],[Withdrawal]]),Q23+CkReg16_1815171521[[#This Row],[Deposit]],Q23-CkReg16_1815171521[[#This Row],[Withdrawal]])</f>
        <v>13415.329999999996</v>
      </c>
      <c r="R24" s="376">
        <v>1</v>
      </c>
    </row>
    <row r="25" spans="2:18" x14ac:dyDescent="0.3">
      <c r="B25" s="488" t="s">
        <v>397</v>
      </c>
      <c r="C25" s="95">
        <f>SUMIF(CkReg16_1815171521[Category],"=" &amp;CategoryTable812101416181622[[#This Row],[Category]],CkReg16_1815171521[Deposit])</f>
        <v>0</v>
      </c>
      <c r="D25" s="489">
        <v>0</v>
      </c>
      <c r="E25" s="489">
        <f>+CategoryTable812101416181622[[#This Row],[Actual to date]]</f>
        <v>0</v>
      </c>
      <c r="F25" s="95">
        <f>-CategoryTable812101416181622[[#This Row],[Budget]]-CategoryTable812101416181622[[#This Row],[Amended Budget]]+CategoryTable812101416181622[[#This Row],[Actual to date]]</f>
        <v>0</v>
      </c>
      <c r="G25" s="95"/>
      <c r="H25" s="499"/>
      <c r="I25" s="500">
        <v>44207</v>
      </c>
      <c r="J25" s="501"/>
      <c r="K25" s="501" t="s">
        <v>1004</v>
      </c>
      <c r="L25" s="501" t="s">
        <v>982</v>
      </c>
      <c r="M25" s="502"/>
      <c r="N25" s="503">
        <v>5</v>
      </c>
      <c r="O25" s="451">
        <f>IF(ISBLANK(CkReg16_1815171521[[#This Row],[Withdrawal]]),O24+CkReg16_1815171521[[#This Row],[Deposit]],O24-CkReg16_1815171521[[#This Row],[Withdrawal]])</f>
        <v>4705.3300000000017</v>
      </c>
      <c r="P25" s="504">
        <v>44209</v>
      </c>
      <c r="Q25" s="451">
        <f>IF(ISBLANK(CkReg16_1815171521[[#This Row],[Withdrawal]]),Q24+CkReg16_1815171521[[#This Row],[Deposit]],Q24-CkReg16_1815171521[[#This Row],[Withdrawal]])</f>
        <v>13420.329999999996</v>
      </c>
      <c r="R25" s="504">
        <v>1</v>
      </c>
    </row>
    <row r="26" spans="2:18" x14ac:dyDescent="0.3">
      <c r="B26" s="488" t="s">
        <v>392</v>
      </c>
      <c r="C26" s="95">
        <f>SUMIF(CkReg16_1815171521[Category],"=" &amp;CategoryTable812101416181622[[#This Row],[Category]],CkReg16_1815171521[Deposit])</f>
        <v>50.470000000000056</v>
      </c>
      <c r="D26" s="489">
        <v>0</v>
      </c>
      <c r="E26" s="489">
        <f>+CategoryTable812101416181622[[#This Row],[Actual to date]]</f>
        <v>50.470000000000056</v>
      </c>
      <c r="F26" s="95">
        <f>-CategoryTable812101416181622[[#This Row],[Budget]]-CategoryTable812101416181622[[#This Row],[Amended Budget]]+CategoryTable812101416181622[[#This Row],[Actual to date]]</f>
        <v>0</v>
      </c>
      <c r="G26" s="95"/>
      <c r="H26" s="499"/>
      <c r="I26" s="500">
        <v>44207</v>
      </c>
      <c r="J26" s="501"/>
      <c r="K26" s="501" t="s">
        <v>1004</v>
      </c>
      <c r="L26" s="501" t="s">
        <v>982</v>
      </c>
      <c r="M26" s="502"/>
      <c r="N26" s="503">
        <v>10</v>
      </c>
      <c r="O26" s="451">
        <f>IF(ISBLANK(CkReg16_1815171521[[#This Row],[Withdrawal]]),O25+CkReg16_1815171521[[#This Row],[Deposit]],O25-CkReg16_1815171521[[#This Row],[Withdrawal]])</f>
        <v>4715.3300000000017</v>
      </c>
      <c r="P26" s="504">
        <v>44209</v>
      </c>
      <c r="Q26" s="451">
        <f>IF(ISBLANK(CkReg16_1815171521[[#This Row],[Withdrawal]]),Q25+CkReg16_1815171521[[#This Row],[Deposit]],Q25-CkReg16_1815171521[[#This Row],[Withdrawal]])</f>
        <v>13430.329999999996</v>
      </c>
      <c r="R26" s="504">
        <v>1</v>
      </c>
    </row>
    <row r="27" spans="2:18" x14ac:dyDescent="0.3">
      <c r="B27" s="488" t="s">
        <v>982</v>
      </c>
      <c r="C27" s="95">
        <f>SUMIF(CkReg16_1815171521[Category],"=" &amp;CategoryTable812101416181622[[#This Row],[Category]],CkReg16_1815171521[Deposit])</f>
        <v>64.939999999999984</v>
      </c>
      <c r="D27" s="489">
        <v>0</v>
      </c>
      <c r="E27" s="489">
        <f>+CategoryTable812101416181622[[#This Row],[Actual to date]]</f>
        <v>64.939999999999984</v>
      </c>
      <c r="F27" s="95">
        <f>-CategoryTable812101416181622[[#This Row],[Budget]]-CategoryTable812101416181622[[#This Row],[Amended Budget]]+CategoryTable812101416181622[[#This Row],[Actual to date]]</f>
        <v>0</v>
      </c>
      <c r="G27" s="95"/>
      <c r="H27" s="499"/>
      <c r="I27" s="500">
        <v>44210</v>
      </c>
      <c r="J27" s="501"/>
      <c r="K27" s="501" t="s">
        <v>1005</v>
      </c>
      <c r="L27" s="501" t="s">
        <v>395</v>
      </c>
      <c r="M27" s="502"/>
      <c r="N27" s="503">
        <v>-0.45</v>
      </c>
      <c r="O27" s="451">
        <f>IF(ISBLANK(CkReg16_1815171521[[#This Row],[Withdrawal]]),O26+CkReg16_1815171521[[#This Row],[Deposit]],O26-CkReg16_1815171521[[#This Row],[Withdrawal]])</f>
        <v>4714.8800000000019</v>
      </c>
      <c r="P27" s="504">
        <v>44215</v>
      </c>
      <c r="Q27" s="451">
        <f>IF(ISBLANK(CkReg16_1815171521[[#This Row],[Withdrawal]]),Q26+CkReg16_1815171521[[#This Row],[Deposit]],Q26-CkReg16_1815171521[[#This Row],[Withdrawal]])</f>
        <v>13429.879999999996</v>
      </c>
      <c r="R27" s="504">
        <v>1</v>
      </c>
    </row>
    <row r="28" spans="2:18" x14ac:dyDescent="0.3">
      <c r="B28" s="535" t="s">
        <v>1062</v>
      </c>
      <c r="C28" s="95">
        <f>SUMIF(CkReg16_1815171521[Category],"=" &amp;CategoryTable812101416181622[[#This Row],[Category]],CkReg16_1815171521[Deposit])</f>
        <v>335.5</v>
      </c>
      <c r="D28" s="95">
        <v>500</v>
      </c>
      <c r="E28" s="95"/>
      <c r="F28" s="95">
        <f>-CategoryTable812101416181622[[#This Row],[Budget]]-CategoryTable812101416181622[[#This Row],[Amended Budget]]+CategoryTable812101416181622[[#This Row],[Actual to date]]</f>
        <v>-164.5</v>
      </c>
      <c r="G28" s="95"/>
      <c r="H28" s="499"/>
      <c r="I28" s="500">
        <v>44210</v>
      </c>
      <c r="J28" s="501"/>
      <c r="K28" s="501" t="s">
        <v>1004</v>
      </c>
      <c r="L28" s="501" t="s">
        <v>395</v>
      </c>
      <c r="M28" s="502"/>
      <c r="N28" s="503">
        <v>5</v>
      </c>
      <c r="O28" s="451">
        <f>IF(ISBLANK(CkReg16_1815171521[[#This Row],[Withdrawal]]),O27+CkReg16_1815171521[[#This Row],[Deposit]],O27-CkReg16_1815171521[[#This Row],[Withdrawal]])</f>
        <v>4719.8800000000019</v>
      </c>
      <c r="P28" s="504">
        <v>44215</v>
      </c>
      <c r="Q28" s="451">
        <f>IF(ISBLANK(CkReg16_1815171521[[#This Row],[Withdrawal]]),Q27+CkReg16_1815171521[[#This Row],[Deposit]],Q27-CkReg16_1815171521[[#This Row],[Withdrawal]])</f>
        <v>13434.879999999996</v>
      </c>
      <c r="R28" s="504">
        <v>1</v>
      </c>
    </row>
    <row r="29" spans="2:18" x14ac:dyDescent="0.3">
      <c r="B29" s="94" t="s">
        <v>34</v>
      </c>
      <c r="C29" s="95">
        <f>-(SUMIF(CkReg16_1815171521[Category],"=" &amp;CategoryTable812101416181622[[#This Row],[Category]],CkReg16_1815171521[Withdrawal]))</f>
        <v>-800</v>
      </c>
      <c r="D29" s="95">
        <v>-1250</v>
      </c>
      <c r="E29" s="95"/>
      <c r="F29" s="95">
        <f>-CategoryTable812101416181622[[#This Row],[Budget]]-CategoryTable812101416181622[[#This Row],[Amended Budget]]+CategoryTable812101416181622[[#This Row],[Actual to date]]</f>
        <v>450</v>
      </c>
      <c r="G29" s="95"/>
      <c r="H29" s="499"/>
      <c r="I29" s="500">
        <v>44213</v>
      </c>
      <c r="J29" s="501"/>
      <c r="K29" s="501" t="s">
        <v>358</v>
      </c>
      <c r="L29" s="501" t="s">
        <v>219</v>
      </c>
      <c r="M29" s="502"/>
      <c r="N29" s="503">
        <v>-0.74</v>
      </c>
      <c r="O29" s="451">
        <f>IF(ISBLANK(CkReg16_1815171521[[#This Row],[Withdrawal]]),O28+CkReg16_1815171521[[#This Row],[Deposit]],O28-CkReg16_1815171521[[#This Row],[Withdrawal]])</f>
        <v>4719.1400000000021</v>
      </c>
      <c r="P29" s="504">
        <v>44215</v>
      </c>
      <c r="Q29" s="451">
        <f>IF(ISBLANK(CkReg16_1815171521[[#This Row],[Withdrawal]]),Q28+CkReg16_1815171521[[#This Row],[Deposit]],Q28-CkReg16_1815171521[[#This Row],[Withdrawal]])</f>
        <v>13434.139999999996</v>
      </c>
      <c r="R29" s="504">
        <v>1</v>
      </c>
    </row>
    <row r="30" spans="2:18" x14ac:dyDescent="0.3">
      <c r="B30" s="94" t="s">
        <v>37</v>
      </c>
      <c r="C30" s="95">
        <f>-(SUMIF(CkReg16_1815171521[Category],"=" &amp;CategoryTable812101416181622[[#This Row],[Category]],CkReg16_1815171521[Withdrawal]))</f>
        <v>0</v>
      </c>
      <c r="D30" s="95">
        <v>-50</v>
      </c>
      <c r="E30" s="95"/>
      <c r="F30" s="95">
        <f>-CategoryTable812101416181622[[#This Row],[Budget]]-CategoryTable812101416181622[[#This Row],[Amended Budget]]+CategoryTable812101416181622[[#This Row],[Actual to date]]</f>
        <v>50</v>
      </c>
      <c r="G30" s="95"/>
      <c r="H30" s="499"/>
      <c r="I30" s="500">
        <v>44213</v>
      </c>
      <c r="J30" s="501"/>
      <c r="K30" s="501" t="s">
        <v>1005</v>
      </c>
      <c r="L30" s="501" t="s">
        <v>392</v>
      </c>
      <c r="M30" s="502"/>
      <c r="N30" s="503">
        <v>-0.45</v>
      </c>
      <c r="O30" s="451">
        <f>IF(ISBLANK(CkReg16_1815171521[[#This Row],[Withdrawal]]),O29+CkReg16_1815171521[[#This Row],[Deposit]],O29-CkReg16_1815171521[[#This Row],[Withdrawal]])</f>
        <v>4718.6900000000023</v>
      </c>
      <c r="P30" s="504">
        <v>44215</v>
      </c>
      <c r="Q30" s="451">
        <f>IF(ISBLANK(CkReg16_1815171521[[#This Row],[Withdrawal]]),Q29+CkReg16_1815171521[[#This Row],[Deposit]],Q29-CkReg16_1815171521[[#This Row],[Withdrawal]])</f>
        <v>13433.689999999995</v>
      </c>
      <c r="R30" s="504">
        <v>1</v>
      </c>
    </row>
    <row r="31" spans="2:18" x14ac:dyDescent="0.3">
      <c r="B31" s="94" t="s">
        <v>39</v>
      </c>
      <c r="C31" s="95">
        <f>-(SUMIF(CkReg16_1815171521[Category],"=" &amp;CategoryTable812101416181622[[#This Row],[Category]],CkReg16_1815171521[Withdrawal]))</f>
        <v>-97.9</v>
      </c>
      <c r="D31" s="95">
        <v>-175</v>
      </c>
      <c r="E31" s="95"/>
      <c r="F31" s="95">
        <f>-CategoryTable812101416181622[[#This Row],[Budget]]-CategoryTable812101416181622[[#This Row],[Amended Budget]]+CategoryTable812101416181622[[#This Row],[Actual to date]]</f>
        <v>77.099999999999994</v>
      </c>
      <c r="G31" s="95"/>
      <c r="H31" s="499"/>
      <c r="I31" s="500">
        <v>44213</v>
      </c>
      <c r="J31" s="501"/>
      <c r="K31" s="501" t="s">
        <v>1005</v>
      </c>
      <c r="L31" s="501" t="s">
        <v>392</v>
      </c>
      <c r="M31" s="502"/>
      <c r="N31" s="503">
        <v>-0.45</v>
      </c>
      <c r="O31" s="451">
        <f>IF(ISBLANK(CkReg16_1815171521[[#This Row],[Withdrawal]]),O30+CkReg16_1815171521[[#This Row],[Deposit]],O30-CkReg16_1815171521[[#This Row],[Withdrawal]])</f>
        <v>4718.2400000000025</v>
      </c>
      <c r="P31" s="504">
        <v>44215</v>
      </c>
      <c r="Q31" s="451">
        <f>IF(ISBLANK(CkReg16_1815171521[[#This Row],[Withdrawal]]),Q30+CkReg16_1815171521[[#This Row],[Deposit]],Q30-CkReg16_1815171521[[#This Row],[Withdrawal]])</f>
        <v>13433.239999999994</v>
      </c>
      <c r="R31" s="504">
        <v>1</v>
      </c>
    </row>
    <row r="32" spans="2:18" x14ac:dyDescent="0.3">
      <c r="B32" s="94" t="s">
        <v>40</v>
      </c>
      <c r="C32" s="95">
        <f>-(SUMIF(CkReg16_1815171521[Category],"=" &amp;CategoryTable812101416181622[[#This Row],[Category]],CkReg16_1815171521[Withdrawal]))</f>
        <v>0</v>
      </c>
      <c r="D32" s="95">
        <v>0</v>
      </c>
      <c r="E32" s="95"/>
      <c r="F32" s="95">
        <f>-CategoryTable812101416181622[[#This Row],[Budget]]-CategoryTable812101416181622[[#This Row],[Amended Budget]]+CategoryTable812101416181622[[#This Row],[Actual to date]]</f>
        <v>0</v>
      </c>
      <c r="G32" s="95"/>
      <c r="H32" s="499"/>
      <c r="I32" s="500">
        <v>44213</v>
      </c>
      <c r="J32" s="501"/>
      <c r="K32" s="501" t="s">
        <v>1005</v>
      </c>
      <c r="L32" s="501" t="s">
        <v>392</v>
      </c>
      <c r="M32" s="502"/>
      <c r="N32" s="503">
        <v>-0.45</v>
      </c>
      <c r="O32" s="451">
        <f>IF(ISBLANK(CkReg16_1815171521[[#This Row],[Withdrawal]]),O31+CkReg16_1815171521[[#This Row],[Deposit]],O31-CkReg16_1815171521[[#This Row],[Withdrawal]])</f>
        <v>4717.7900000000027</v>
      </c>
      <c r="P32" s="504">
        <v>44215</v>
      </c>
      <c r="Q32" s="451">
        <f>IF(ISBLANK(CkReg16_1815171521[[#This Row],[Withdrawal]]),Q31+CkReg16_1815171521[[#This Row],[Deposit]],Q31-CkReg16_1815171521[[#This Row],[Withdrawal]])</f>
        <v>13432.789999999994</v>
      </c>
      <c r="R32" s="504">
        <v>1</v>
      </c>
    </row>
    <row r="33" spans="2:18" x14ac:dyDescent="0.3">
      <c r="B33" s="94" t="s">
        <v>91</v>
      </c>
      <c r="C33" s="95">
        <f>SUMIF(CkReg16_1815171521[Category],"=" &amp;CategoryTable812101416181622[[#This Row],[Category]],CkReg16_1815171521[Deposit])</f>
        <v>0.9900000000000001</v>
      </c>
      <c r="D33" s="95">
        <v>5</v>
      </c>
      <c r="E33" s="95"/>
      <c r="F33" s="95">
        <f>-CategoryTable812101416181622[[#This Row],[Budget]]-CategoryTable812101416181622[[#This Row],[Amended Budget]]+CategoryTable812101416181622[[#This Row],[Actual to date]]</f>
        <v>-4.01</v>
      </c>
      <c r="G33" s="95"/>
      <c r="H33" s="499"/>
      <c r="I33" s="500">
        <v>44213</v>
      </c>
      <c r="J33" s="501"/>
      <c r="K33" s="501" t="s">
        <v>1005</v>
      </c>
      <c r="L33" s="501" t="s">
        <v>392</v>
      </c>
      <c r="M33" s="502"/>
      <c r="N33" s="503">
        <v>-0.45</v>
      </c>
      <c r="O33" s="451">
        <f>IF(ISBLANK(CkReg16_1815171521[[#This Row],[Withdrawal]]),O32+CkReg16_1815171521[[#This Row],[Deposit]],O32-CkReg16_1815171521[[#This Row],[Withdrawal]])</f>
        <v>4717.3400000000029</v>
      </c>
      <c r="P33" s="504">
        <v>44215</v>
      </c>
      <c r="Q33" s="451">
        <f>IF(ISBLANK(CkReg16_1815171521[[#This Row],[Withdrawal]]),Q32+CkReg16_1815171521[[#This Row],[Deposit]],Q32-CkReg16_1815171521[[#This Row],[Withdrawal]])</f>
        <v>13432.339999999993</v>
      </c>
      <c r="R33" s="504">
        <v>1</v>
      </c>
    </row>
    <row r="34" spans="2:18" x14ac:dyDescent="0.3">
      <c r="B34" s="94" t="s">
        <v>43</v>
      </c>
      <c r="C34" s="95">
        <f>-(SUMIF(CkReg16_1815171521[Category],"=" &amp;CategoryTable812101416181622[[#This Row],[Category]],CkReg16_1815171521[Withdrawal]))</f>
        <v>-400</v>
      </c>
      <c r="D34" s="95">
        <v>-300</v>
      </c>
      <c r="E34" s="95"/>
      <c r="F34" s="95">
        <f>-CategoryTable812101416181622[[#This Row],[Budget]]-CategoryTable812101416181622[[#This Row],[Amended Budget]]+CategoryTable812101416181622[[#This Row],[Actual to date]]</f>
        <v>-100</v>
      </c>
      <c r="G34" s="95"/>
      <c r="H34" s="499"/>
      <c r="I34" s="500">
        <v>44213</v>
      </c>
      <c r="J34" s="501"/>
      <c r="K34" s="501" t="s">
        <v>1004</v>
      </c>
      <c r="L34" s="501" t="s">
        <v>392</v>
      </c>
      <c r="M34" s="502"/>
      <c r="N34" s="503">
        <v>5</v>
      </c>
      <c r="O34" s="451">
        <f>IF(ISBLANK(CkReg16_1815171521[[#This Row],[Withdrawal]]),O33+CkReg16_1815171521[[#This Row],[Deposit]],O33-CkReg16_1815171521[[#This Row],[Withdrawal]])</f>
        <v>4722.3400000000029</v>
      </c>
      <c r="P34" s="504">
        <v>44215</v>
      </c>
      <c r="Q34" s="451">
        <f>IF(ISBLANK(CkReg16_1815171521[[#This Row],[Withdrawal]]),Q33+CkReg16_1815171521[[#This Row],[Deposit]],Q33-CkReg16_1815171521[[#This Row],[Withdrawal]])</f>
        <v>13437.339999999993</v>
      </c>
      <c r="R34" s="504">
        <v>1</v>
      </c>
    </row>
    <row r="35" spans="2:18" x14ac:dyDescent="0.3">
      <c r="B35" s="94" t="s">
        <v>946</v>
      </c>
      <c r="C35" s="95">
        <f>-(SUMIF(CkReg16_1815171521[Category],"=" &amp;CategoryTable812101416181622[[#This Row],[Category]],CkReg16_1815171521[Withdrawal]))</f>
        <v>-146.79</v>
      </c>
      <c r="D35" s="95">
        <v>-200</v>
      </c>
      <c r="E35" s="95"/>
      <c r="F35" s="95">
        <f>-CategoryTable812101416181622[[#This Row],[Budget]]-CategoryTable812101416181622[[#This Row],[Amended Budget]]+CategoryTable812101416181622[[#This Row],[Actual to date]]</f>
        <v>53.210000000000008</v>
      </c>
      <c r="G35" s="95"/>
      <c r="H35" s="499"/>
      <c r="I35" s="500">
        <v>44213</v>
      </c>
      <c r="J35" s="501"/>
      <c r="K35" s="501" t="s">
        <v>1004</v>
      </c>
      <c r="L35" s="501" t="s">
        <v>392</v>
      </c>
      <c r="M35" s="502"/>
      <c r="N35" s="503">
        <v>5</v>
      </c>
      <c r="O35" s="451">
        <f>IF(ISBLANK(CkReg16_1815171521[[#This Row],[Withdrawal]]),O34+CkReg16_1815171521[[#This Row],[Deposit]],O34-CkReg16_1815171521[[#This Row],[Withdrawal]])</f>
        <v>4727.3400000000029</v>
      </c>
      <c r="P35" s="504">
        <v>44215</v>
      </c>
      <c r="Q35" s="451">
        <f>IF(ISBLANK(CkReg16_1815171521[[#This Row],[Withdrawal]]),Q34+CkReg16_1815171521[[#This Row],[Deposit]],Q34-CkReg16_1815171521[[#This Row],[Withdrawal]])</f>
        <v>13442.339999999993</v>
      </c>
      <c r="R35" s="376">
        <v>1</v>
      </c>
    </row>
    <row r="36" spans="2:18" x14ac:dyDescent="0.3">
      <c r="B36" s="94" t="s">
        <v>44</v>
      </c>
      <c r="C36" s="95">
        <f>-(SUMIF(CkReg16_1815171521[Category],"=" &amp;CategoryTable812101416181622[[#This Row],[Category]],CkReg16_1815171521[Withdrawal]))</f>
        <v>0</v>
      </c>
      <c r="D36" s="95">
        <v>-50</v>
      </c>
      <c r="E36" s="95"/>
      <c r="F36" s="95">
        <f>-CategoryTable812101416181622[[#This Row],[Budget]]-CategoryTable812101416181622[[#This Row],[Amended Budget]]+CategoryTable812101416181622[[#This Row],[Actual to date]]</f>
        <v>50</v>
      </c>
      <c r="G36" s="95"/>
      <c r="H36" s="499"/>
      <c r="I36" s="500">
        <v>44213</v>
      </c>
      <c r="J36" s="501"/>
      <c r="K36" s="501" t="s">
        <v>1004</v>
      </c>
      <c r="L36" s="501" t="s">
        <v>392</v>
      </c>
      <c r="M36" s="502"/>
      <c r="N36" s="503">
        <v>5</v>
      </c>
      <c r="O36" s="451">
        <f>IF(ISBLANK(CkReg16_1815171521[[#This Row],[Withdrawal]]),O35+CkReg16_1815171521[[#This Row],[Deposit]],O35-CkReg16_1815171521[[#This Row],[Withdrawal]])</f>
        <v>4732.3400000000029</v>
      </c>
      <c r="P36" s="504">
        <v>44215</v>
      </c>
      <c r="Q36" s="451">
        <f>IF(ISBLANK(CkReg16_1815171521[[#This Row],[Withdrawal]]),Q35+CkReg16_1815171521[[#This Row],[Deposit]],Q35-CkReg16_1815171521[[#This Row],[Withdrawal]])</f>
        <v>13447.339999999993</v>
      </c>
      <c r="R36" s="376">
        <v>1</v>
      </c>
    </row>
    <row r="37" spans="2:18" x14ac:dyDescent="0.3">
      <c r="B37" s="94" t="s">
        <v>45</v>
      </c>
      <c r="C37" s="95">
        <f>-(SUMIF(CkReg16_1815171521[Category],"=" &amp;CategoryTable812101416181622[[#This Row],[Category]],CkReg16_1815171521[Withdrawal]))</f>
        <v>-134</v>
      </c>
      <c r="D37" s="95">
        <v>-110</v>
      </c>
      <c r="E37" s="95"/>
      <c r="F37" s="95">
        <f>-CategoryTable812101416181622[[#This Row],[Budget]]-CategoryTable812101416181622[[#This Row],[Amended Budget]]+CategoryTable812101416181622[[#This Row],[Actual to date]]</f>
        <v>-24</v>
      </c>
      <c r="G37" s="95"/>
      <c r="H37" s="499"/>
      <c r="I37" s="500">
        <v>44213</v>
      </c>
      <c r="J37" s="501"/>
      <c r="K37" s="501" t="s">
        <v>1004</v>
      </c>
      <c r="L37" s="501" t="s">
        <v>392</v>
      </c>
      <c r="M37" s="502"/>
      <c r="N37" s="503">
        <v>5</v>
      </c>
      <c r="O37" s="451">
        <f>IF(ISBLANK(CkReg16_1815171521[[#This Row],[Withdrawal]]),O36+CkReg16_1815171521[[#This Row],[Deposit]],O36-CkReg16_1815171521[[#This Row],[Withdrawal]])</f>
        <v>4737.3400000000029</v>
      </c>
      <c r="P37" s="504">
        <v>44215</v>
      </c>
      <c r="Q37" s="451">
        <f>IF(ISBLANK(CkReg16_1815171521[[#This Row],[Withdrawal]]),Q36+CkReg16_1815171521[[#This Row],[Deposit]],Q36-CkReg16_1815171521[[#This Row],[Withdrawal]])</f>
        <v>13452.339999999993</v>
      </c>
      <c r="R37" s="376">
        <v>1</v>
      </c>
    </row>
    <row r="38" spans="2:18" x14ac:dyDescent="0.3">
      <c r="B38" s="94" t="s">
        <v>46</v>
      </c>
      <c r="C38" s="95">
        <f>-(SUMIF(CkReg16_1815171521[Category],"=" &amp;CategoryTable812101416181622[[#This Row],[Category]],CkReg16_1815171521[Withdrawal]))</f>
        <v>-1198.6399999999999</v>
      </c>
      <c r="D38" s="95">
        <v>-1100</v>
      </c>
      <c r="E38" s="95"/>
      <c r="F38" s="95">
        <f>-CategoryTable812101416181622[[#This Row],[Budget]]-CategoryTable812101416181622[[#This Row],[Amended Budget]]+CategoryTable812101416181622[[#This Row],[Actual to date]]</f>
        <v>-98.639999999999873</v>
      </c>
      <c r="G38" s="95"/>
      <c r="H38" s="499"/>
      <c r="I38" s="500">
        <v>44213</v>
      </c>
      <c r="J38" s="501"/>
      <c r="K38" s="501" t="s">
        <v>988</v>
      </c>
      <c r="L38" s="501" t="s">
        <v>219</v>
      </c>
      <c r="M38" s="502"/>
      <c r="N38" s="503">
        <v>15</v>
      </c>
      <c r="O38" s="451">
        <f>IF(ISBLANK(CkReg16_1815171521[[#This Row],[Withdrawal]]),O37+CkReg16_1815171521[[#This Row],[Deposit]],O37-CkReg16_1815171521[[#This Row],[Withdrawal]])</f>
        <v>4752.3400000000029</v>
      </c>
      <c r="P38" s="504">
        <v>44215</v>
      </c>
      <c r="Q38" s="451">
        <f>IF(ISBLANK(CkReg16_1815171521[[#This Row],[Withdrawal]]),Q37+CkReg16_1815171521[[#This Row],[Deposit]],Q37-CkReg16_1815171521[[#This Row],[Withdrawal]])</f>
        <v>13467.339999999993</v>
      </c>
      <c r="R38" s="376">
        <v>1</v>
      </c>
    </row>
    <row r="39" spans="2:18" x14ac:dyDescent="0.3">
      <c r="B39" s="94" t="s">
        <v>47</v>
      </c>
      <c r="C39" s="95">
        <f>-(SUMIF(CkReg16_1815171521[Category],"=" &amp;CategoryTable812101416181622[[#This Row],[Category]],CkReg16_1815171521[Withdrawal]))</f>
        <v>0</v>
      </c>
      <c r="D39" s="95">
        <v>-25</v>
      </c>
      <c r="E39" s="95"/>
      <c r="F39" s="95">
        <f>-CategoryTable812101416181622[[#This Row],[Budget]]-CategoryTable812101416181622[[#This Row],[Amended Budget]]+CategoryTable812101416181622[[#This Row],[Actual to date]]</f>
        <v>25</v>
      </c>
      <c r="G39" s="95"/>
      <c r="H39" s="499"/>
      <c r="I39" s="500">
        <v>44214</v>
      </c>
      <c r="J39" s="501"/>
      <c r="K39" s="501" t="s">
        <v>1005</v>
      </c>
      <c r="L39" s="501" t="s">
        <v>982</v>
      </c>
      <c r="M39" s="502"/>
      <c r="N39" s="503">
        <v>-0.39</v>
      </c>
      <c r="O39" s="451">
        <f>IF(ISBLANK(CkReg16_1815171521[[#This Row],[Withdrawal]]),O38+CkReg16_1815171521[[#This Row],[Deposit]],O38-CkReg16_1815171521[[#This Row],[Withdrawal]])</f>
        <v>4751.9500000000025</v>
      </c>
      <c r="P39" s="504">
        <v>44216</v>
      </c>
      <c r="Q39" s="451">
        <f>IF(ISBLANK(CkReg16_1815171521[[#This Row],[Withdrawal]]),Q38+CkReg16_1815171521[[#This Row],[Deposit]],Q38-CkReg16_1815171521[[#This Row],[Withdrawal]])</f>
        <v>13466.949999999993</v>
      </c>
      <c r="R39" s="504">
        <v>1</v>
      </c>
    </row>
    <row r="40" spans="2:18" x14ac:dyDescent="0.3">
      <c r="B40" s="94" t="s">
        <v>49</v>
      </c>
      <c r="C40" s="95">
        <f>-(SUMIF(CkReg16_1815171521[Category],"=" &amp;CategoryTable812101416181622[[#This Row],[Category]],CkReg16_1815171521[Withdrawal]))</f>
        <v>0</v>
      </c>
      <c r="D40" s="95">
        <v>-25</v>
      </c>
      <c r="E40" s="95"/>
      <c r="F40" s="95">
        <f>-CategoryTable812101416181622[[#This Row],[Budget]]-CategoryTable812101416181622[[#This Row],[Amended Budget]]+CategoryTable812101416181622[[#This Row],[Actual to date]]</f>
        <v>25</v>
      </c>
      <c r="G40" s="95"/>
      <c r="H40" s="499"/>
      <c r="I40" s="500">
        <v>44214</v>
      </c>
      <c r="J40" s="501"/>
      <c r="K40" s="501" t="s">
        <v>358</v>
      </c>
      <c r="L40" s="501" t="s">
        <v>219</v>
      </c>
      <c r="M40" s="502"/>
      <c r="N40" s="503">
        <v>-0.39</v>
      </c>
      <c r="O40" s="451">
        <f>IF(ISBLANK(CkReg16_1815171521[[#This Row],[Withdrawal]]),O39+CkReg16_1815171521[[#This Row],[Deposit]],O39-CkReg16_1815171521[[#This Row],[Withdrawal]])</f>
        <v>4751.5600000000022</v>
      </c>
      <c r="P40" s="504">
        <v>44216</v>
      </c>
      <c r="Q40" s="451">
        <f>IF(ISBLANK(CkReg16_1815171521[[#This Row],[Withdrawal]]),Q39+CkReg16_1815171521[[#This Row],[Deposit]],Q39-CkReg16_1815171521[[#This Row],[Withdrawal]])</f>
        <v>13466.559999999994</v>
      </c>
      <c r="R40" s="504">
        <v>1</v>
      </c>
    </row>
    <row r="41" spans="2:18" x14ac:dyDescent="0.3">
      <c r="B41" s="94" t="s">
        <v>50</v>
      </c>
      <c r="C41" s="95">
        <f>-(SUMIF(CkReg16_1815171521[Category],"=" &amp;CategoryTable812101416181622[[#This Row],[Category]],CkReg16_1815171521[Withdrawal]))</f>
        <v>0</v>
      </c>
      <c r="D41" s="95">
        <v>-12.5</v>
      </c>
      <c r="E41" s="95"/>
      <c r="F41" s="95">
        <f>-CategoryTable812101416181622[[#This Row],[Budget]]-CategoryTable812101416181622[[#This Row],[Amended Budget]]+CategoryTable812101416181622[[#This Row],[Actual to date]]</f>
        <v>12.5</v>
      </c>
      <c r="G41" s="95"/>
      <c r="H41" s="499"/>
      <c r="I41" s="500">
        <v>44214</v>
      </c>
      <c r="J41" s="501"/>
      <c r="K41" s="501" t="s">
        <v>1004</v>
      </c>
      <c r="L41" s="501" t="s">
        <v>982</v>
      </c>
      <c r="M41" s="502"/>
      <c r="N41" s="503">
        <v>3</v>
      </c>
      <c r="O41" s="451">
        <f>IF(ISBLANK(CkReg16_1815171521[[#This Row],[Withdrawal]]),O40+CkReg16_1815171521[[#This Row],[Deposit]],O40-CkReg16_1815171521[[#This Row],[Withdrawal]])</f>
        <v>4754.5600000000022</v>
      </c>
      <c r="P41" s="504">
        <v>44216</v>
      </c>
      <c r="Q41" s="451">
        <f>IF(ISBLANK(CkReg16_1815171521[[#This Row],[Withdrawal]]),Q40+CkReg16_1815171521[[#This Row],[Deposit]],Q40-CkReg16_1815171521[[#This Row],[Withdrawal]])</f>
        <v>13469.559999999994</v>
      </c>
      <c r="R41" s="504">
        <v>1</v>
      </c>
    </row>
    <row r="42" spans="2:18" x14ac:dyDescent="0.3">
      <c r="B42" s="94" t="s">
        <v>51</v>
      </c>
      <c r="C42" s="95">
        <f>-(SUMIF(CkReg16_1815171521[Category],"=" &amp;CategoryTable812101416181622[[#This Row],[Category]],CkReg16_1815171521[Withdrawal]))</f>
        <v>0</v>
      </c>
      <c r="D42" s="95">
        <v>-320</v>
      </c>
      <c r="E42" s="95"/>
      <c r="F42" s="95">
        <f>-CategoryTable812101416181622[[#This Row],[Budget]]-CategoryTable812101416181622[[#This Row],[Amended Budget]]+CategoryTable812101416181622[[#This Row],[Actual to date]]</f>
        <v>320</v>
      </c>
      <c r="G42" s="95"/>
      <c r="H42" s="499"/>
      <c r="I42" s="500">
        <v>44214</v>
      </c>
      <c r="J42" s="501"/>
      <c r="K42" s="501" t="s">
        <v>988</v>
      </c>
      <c r="L42" s="501" t="s">
        <v>219</v>
      </c>
      <c r="M42" s="502"/>
      <c r="N42" s="503">
        <v>3</v>
      </c>
      <c r="O42" s="451">
        <f>IF(ISBLANK(CkReg16_1815171521[[#This Row],[Withdrawal]]),O41+CkReg16_1815171521[[#This Row],[Deposit]],O41-CkReg16_1815171521[[#This Row],[Withdrawal]])</f>
        <v>4757.5600000000022</v>
      </c>
      <c r="P42" s="504">
        <v>44216</v>
      </c>
      <c r="Q42" s="451">
        <f>IF(ISBLANK(CkReg16_1815171521[[#This Row],[Withdrawal]]),Q41+CkReg16_1815171521[[#This Row],[Deposit]],Q41-CkReg16_1815171521[[#This Row],[Withdrawal]])</f>
        <v>13472.559999999994</v>
      </c>
      <c r="R42" s="504">
        <v>1</v>
      </c>
    </row>
    <row r="43" spans="2:18" x14ac:dyDescent="0.3">
      <c r="B43" s="94" t="s">
        <v>52</v>
      </c>
      <c r="C43" s="95">
        <f>-(SUMIF(CkReg16_1815171521[Category],"=" &amp;CategoryTable812101416181622[[#This Row],[Category]],CkReg16_1815171521[Withdrawal]))</f>
        <v>-39.25</v>
      </c>
      <c r="D43" s="95">
        <v>-50</v>
      </c>
      <c r="E43" s="95"/>
      <c r="F43" s="95">
        <f>-CategoryTable812101416181622[[#This Row],[Budget]]-CategoryTable812101416181622[[#This Row],[Amended Budget]]+CategoryTable812101416181622[[#This Row],[Actual to date]]</f>
        <v>10.75</v>
      </c>
      <c r="G43" s="95"/>
      <c r="H43" s="499"/>
      <c r="I43" s="500">
        <v>44221</v>
      </c>
      <c r="J43" s="501"/>
      <c r="K43" s="501" t="s">
        <v>1005</v>
      </c>
      <c r="L43" s="501" t="s">
        <v>982</v>
      </c>
      <c r="M43" s="502"/>
      <c r="N43" s="503">
        <v>-0.45</v>
      </c>
      <c r="O43" s="451">
        <f>IF(ISBLANK(CkReg16_1815171521[[#This Row],[Withdrawal]]),O42+CkReg16_1815171521[[#This Row],[Deposit]],O42-CkReg16_1815171521[[#This Row],[Withdrawal]])</f>
        <v>4757.1100000000024</v>
      </c>
      <c r="P43" s="504">
        <v>44223</v>
      </c>
      <c r="Q43" s="451">
        <f>IF(ISBLANK(CkReg16_1815171521[[#This Row],[Withdrawal]]),Q42+CkReg16_1815171521[[#This Row],[Deposit]],Q42-CkReg16_1815171521[[#This Row],[Withdrawal]])</f>
        <v>13472.109999999993</v>
      </c>
      <c r="R43" s="504">
        <v>1</v>
      </c>
    </row>
    <row r="44" spans="2:18" x14ac:dyDescent="0.3">
      <c r="B44" s="94" t="s">
        <v>53</v>
      </c>
      <c r="C44" s="95">
        <f>-(SUMIF(CkReg16_1815171521[Category],"=" &amp;CategoryTable812101416181622[[#This Row],[Category]],CkReg16_1815171521[Withdrawal]))</f>
        <v>0</v>
      </c>
      <c r="D44" s="95">
        <v>-50</v>
      </c>
      <c r="E44" s="95"/>
      <c r="F44" s="95">
        <f>-CategoryTable812101416181622[[#This Row],[Budget]]-CategoryTable812101416181622[[#This Row],[Amended Budget]]+CategoryTable812101416181622[[#This Row],[Actual to date]]</f>
        <v>50</v>
      </c>
      <c r="G44" s="95"/>
      <c r="H44" s="499"/>
      <c r="I44" s="500">
        <v>44221</v>
      </c>
      <c r="J44" s="501"/>
      <c r="K44" s="501" t="s">
        <v>1004</v>
      </c>
      <c r="L44" s="501" t="s">
        <v>982</v>
      </c>
      <c r="M44" s="502"/>
      <c r="N44" s="503">
        <v>5</v>
      </c>
      <c r="O44" s="451">
        <f>IF(ISBLANK(CkReg16_1815171521[[#This Row],[Withdrawal]]),O43+CkReg16_1815171521[[#This Row],[Deposit]],O43-CkReg16_1815171521[[#This Row],[Withdrawal]])</f>
        <v>4762.1100000000024</v>
      </c>
      <c r="P44" s="504">
        <v>44223</v>
      </c>
      <c r="Q44" s="451">
        <f>IF(ISBLANK(CkReg16_1815171521[[#This Row],[Withdrawal]]),Q43+CkReg16_1815171521[[#This Row],[Deposit]],Q43-CkReg16_1815171521[[#This Row],[Withdrawal]])</f>
        <v>13477.109999999993</v>
      </c>
      <c r="R44" s="504">
        <v>1</v>
      </c>
    </row>
    <row r="45" spans="2:18" x14ac:dyDescent="0.3">
      <c r="B45" s="94" t="s">
        <v>54</v>
      </c>
      <c r="C45" s="95">
        <f>-(SUMIF(CkReg16_1815171521[Category],"=" &amp;CategoryTable812101416181622[[#This Row],[Category]],CkReg16_1815171521[Withdrawal]))</f>
        <v>0</v>
      </c>
      <c r="D45" s="95">
        <v>0</v>
      </c>
      <c r="E45" s="95"/>
      <c r="F45" s="95">
        <f>-CategoryTable812101416181622[[#This Row],[Budget]]-CategoryTable812101416181622[[#This Row],[Amended Budget]]+CategoryTable812101416181622[[#This Row],[Actual to date]]</f>
        <v>0</v>
      </c>
      <c r="G45" s="95"/>
      <c r="H45" s="286"/>
      <c r="I45" s="383">
        <v>44227</v>
      </c>
      <c r="J45" s="285"/>
      <c r="K45" s="285" t="s">
        <v>1005</v>
      </c>
      <c r="L45" s="285" t="s">
        <v>392</v>
      </c>
      <c r="M45" s="446"/>
      <c r="N45" s="496">
        <v>-0.59</v>
      </c>
      <c r="O45" s="451">
        <f>IF(ISBLANK(CkReg16_1815171521[[#This Row],[Withdrawal]]),O44+CkReg16_1815171521[[#This Row],[Deposit]],O44-CkReg16_1815171521[[#This Row],[Withdrawal]])</f>
        <v>4761.5200000000023</v>
      </c>
      <c r="P45" s="504">
        <v>44228</v>
      </c>
      <c r="Q45" s="451">
        <f>IF(ISBLANK(CkReg16_1815171521[[#This Row],[Withdrawal]]),Q44+CkReg16_1815171521[[#This Row],[Deposit]],Q44-CkReg16_1815171521[[#This Row],[Withdrawal]])</f>
        <v>13476.519999999993</v>
      </c>
      <c r="R45" s="504">
        <v>1</v>
      </c>
    </row>
    <row r="46" spans="2:18" x14ac:dyDescent="0.3">
      <c r="B46" s="94" t="s">
        <v>36</v>
      </c>
      <c r="C46" s="95">
        <f>-(SUMIF(CkReg16_1815171521[Category],"=" &amp;CategoryTable812101416181622[[#This Row],[Category]],CkReg16_1815171521[Withdrawal]))</f>
        <v>-100</v>
      </c>
      <c r="D46" s="95">
        <v>-300</v>
      </c>
      <c r="E46" s="95"/>
      <c r="F46" s="95">
        <f>-CategoryTable812101416181622[[#This Row],[Budget]]-CategoryTable812101416181622[[#This Row],[Amended Budget]]+CategoryTable812101416181622[[#This Row],[Actual to date]]</f>
        <v>200</v>
      </c>
      <c r="G46" s="95"/>
      <c r="H46" s="286"/>
      <c r="I46" s="383">
        <v>44227</v>
      </c>
      <c r="J46" s="285"/>
      <c r="K46" s="285" t="s">
        <v>1005</v>
      </c>
      <c r="L46" s="285" t="s">
        <v>392</v>
      </c>
      <c r="M46" s="446"/>
      <c r="N46" s="496">
        <v>-0.45</v>
      </c>
      <c r="O46" s="451">
        <f>IF(ISBLANK(CkReg16_1815171521[[#This Row],[Withdrawal]]),O45+CkReg16_1815171521[[#This Row],[Deposit]],O45-CkReg16_1815171521[[#This Row],[Withdrawal]])</f>
        <v>4761.0700000000024</v>
      </c>
      <c r="P46" s="504">
        <v>44228</v>
      </c>
      <c r="Q46" s="451">
        <f>IF(ISBLANK(CkReg16_1815171521[[#This Row],[Withdrawal]]),Q45+CkReg16_1815171521[[#This Row],[Deposit]],Q45-CkReg16_1815171521[[#This Row],[Withdrawal]])</f>
        <v>13476.069999999992</v>
      </c>
      <c r="R46" s="504">
        <v>1</v>
      </c>
    </row>
    <row r="47" spans="2:18" x14ac:dyDescent="0.3">
      <c r="B47" s="94" t="s">
        <v>573</v>
      </c>
      <c r="C47" s="95">
        <f>-(SUMIF(CkReg16_1815171521[Category],"=" &amp;CategoryTable812101416181622[[#This Row],[Category]],CkReg16_1815171521[Withdrawal]))</f>
        <v>0</v>
      </c>
      <c r="D47" s="95">
        <v>-50</v>
      </c>
      <c r="E47" s="95"/>
      <c r="F47" s="95">
        <f>-CategoryTable812101416181622[[#This Row],[Budget]]-CategoryTable812101416181622[[#This Row],[Amended Budget]]+CategoryTable812101416181622[[#This Row],[Actual to date]]</f>
        <v>50</v>
      </c>
      <c r="G47" s="95"/>
      <c r="H47" s="286"/>
      <c r="I47" s="383">
        <v>44227</v>
      </c>
      <c r="J47" s="285"/>
      <c r="K47" s="285" t="s">
        <v>1009</v>
      </c>
      <c r="L47" s="285" t="s">
        <v>91</v>
      </c>
      <c r="M47" s="446"/>
      <c r="N47" s="496">
        <v>0.11</v>
      </c>
      <c r="O47" s="451">
        <f>IF(ISBLANK(CkReg16_1815171521[[#This Row],[Withdrawal]]),O46+CkReg16_1815171521[[#This Row],[Deposit]],O46-CkReg16_1815171521[[#This Row],[Withdrawal]])</f>
        <v>4761.1800000000021</v>
      </c>
      <c r="P47" s="504">
        <v>44225</v>
      </c>
      <c r="Q47" s="451">
        <f>IF(ISBLANK(CkReg16_1815171521[[#This Row],[Withdrawal]]),Q46+CkReg16_1815171521[[#This Row],[Deposit]],Q46-CkReg16_1815171521[[#This Row],[Withdrawal]])</f>
        <v>13476.179999999993</v>
      </c>
      <c r="R47" s="504">
        <v>1</v>
      </c>
    </row>
    <row r="48" spans="2:18" x14ac:dyDescent="0.3">
      <c r="B48" s="94" t="s">
        <v>574</v>
      </c>
      <c r="C48" s="95">
        <f>-(SUMIF(CkReg16_1815171521[Category],"=" &amp;CategoryTable812101416181622[[#This Row],[Category]],CkReg16_1815171521[Withdrawal]))</f>
        <v>0</v>
      </c>
      <c r="D48" s="95">
        <v>-50</v>
      </c>
      <c r="E48" s="95"/>
      <c r="F48" s="95">
        <f>-CategoryTable812101416181622[[#This Row],[Budget]]-CategoryTable812101416181622[[#This Row],[Amended Budget]]+CategoryTable812101416181622[[#This Row],[Actual to date]]</f>
        <v>50</v>
      </c>
      <c r="G48" s="95"/>
      <c r="H48" s="286"/>
      <c r="I48" s="383">
        <v>44227</v>
      </c>
      <c r="J48" s="285"/>
      <c r="K48" s="285" t="s">
        <v>1004</v>
      </c>
      <c r="L48" s="285" t="s">
        <v>392</v>
      </c>
      <c r="M48" s="446"/>
      <c r="N48" s="496">
        <v>5</v>
      </c>
      <c r="O48" s="451">
        <f>IF(ISBLANK(CkReg16_1815171521[[#This Row],[Withdrawal]]),O47+CkReg16_1815171521[[#This Row],[Deposit]],O47-CkReg16_1815171521[[#This Row],[Withdrawal]])</f>
        <v>4766.1800000000021</v>
      </c>
      <c r="P48" s="504">
        <v>44228</v>
      </c>
      <c r="Q48" s="451">
        <f>IF(ISBLANK(CkReg16_1815171521[[#This Row],[Withdrawal]]),Q47+CkReg16_1815171521[[#This Row],[Deposit]],Q47-CkReg16_1815171521[[#This Row],[Withdrawal]])</f>
        <v>13481.179999999993</v>
      </c>
      <c r="R48" s="504">
        <v>1</v>
      </c>
    </row>
    <row r="49" spans="2:18" x14ac:dyDescent="0.3">
      <c r="B49" s="94" t="s">
        <v>389</v>
      </c>
      <c r="C49" s="95">
        <f>-(SUMIF(CkReg16_1815171521[Category],"=" &amp;CategoryTable812101416181622[[#This Row],[Category]],CkReg16_1815171521[Withdrawal]))</f>
        <v>-191.75</v>
      </c>
      <c r="D49" s="95">
        <v>-250</v>
      </c>
      <c r="E49" s="95"/>
      <c r="F49" s="95">
        <f>-CategoryTable812101416181622[[#This Row],[Budget]]-CategoryTable812101416181622[[#This Row],[Amended Budget]]+CategoryTable812101416181622[[#This Row],[Actual to date]]</f>
        <v>58.25</v>
      </c>
      <c r="G49" s="95"/>
      <c r="H49" s="499"/>
      <c r="I49" s="500">
        <v>44227</v>
      </c>
      <c r="J49" s="501"/>
      <c r="K49" s="501" t="s">
        <v>1004</v>
      </c>
      <c r="L49" s="501" t="s">
        <v>392</v>
      </c>
      <c r="M49" s="502"/>
      <c r="N49" s="503">
        <v>10</v>
      </c>
      <c r="O49" s="451">
        <f>IF(ISBLANK(CkReg16_1815171521[[#This Row],[Withdrawal]]),O48+CkReg16_1815171521[[#This Row],[Deposit]],O48-CkReg16_1815171521[[#This Row],[Withdrawal]])</f>
        <v>4776.1800000000021</v>
      </c>
      <c r="P49" s="504">
        <v>44228</v>
      </c>
      <c r="Q49" s="451">
        <f>IF(ISBLANK(CkReg16_1815171521[[#This Row],[Withdrawal]]),Q48+CkReg16_1815171521[[#This Row],[Deposit]],Q48-CkReg16_1815171521[[#This Row],[Withdrawal]])</f>
        <v>13491.179999999993</v>
      </c>
      <c r="R49" s="376">
        <v>1</v>
      </c>
    </row>
    <row r="50" spans="2:18" x14ac:dyDescent="0.3">
      <c r="B50" s="94" t="s">
        <v>390</v>
      </c>
      <c r="C50" s="95">
        <f>-(SUMIF(CkReg16_1815171521[Category],"=" &amp;CategoryTable812101416181622[[#This Row],[Category]],CkReg16_1815171521[Withdrawal]))</f>
        <v>0</v>
      </c>
      <c r="D50" s="95">
        <v>-100</v>
      </c>
      <c r="E50" s="95"/>
      <c r="F50" s="95">
        <f>-CategoryTable812101416181622[[#This Row],[Budget]]-CategoryTable812101416181622[[#This Row],[Amended Budget]]+CategoryTable812101416181622[[#This Row],[Actual to date]]</f>
        <v>100</v>
      </c>
      <c r="G50" s="95"/>
      <c r="H50" s="286"/>
      <c r="I50" s="383">
        <v>44227</v>
      </c>
      <c r="J50" s="285"/>
      <c r="K50" s="285" t="s">
        <v>989</v>
      </c>
      <c r="L50" s="285" t="s">
        <v>946</v>
      </c>
      <c r="M50" s="446">
        <v>16.309999999999999</v>
      </c>
      <c r="N50" s="496"/>
      <c r="O50" s="451">
        <f>IF(ISBLANK(CkReg16_1815171521[[#This Row],[Withdrawal]]),O49+CkReg16_1815171521[[#This Row],[Deposit]],O49-CkReg16_1815171521[[#This Row],[Withdrawal]])</f>
        <v>4759.8700000000017</v>
      </c>
      <c r="P50" s="504">
        <v>44227</v>
      </c>
      <c r="Q50" s="451">
        <f>IF(ISBLANK(CkReg16_1815171521[[#This Row],[Withdrawal]]),Q49+CkReg16_1815171521[[#This Row],[Deposit]],Q49-CkReg16_1815171521[[#This Row],[Withdrawal]])</f>
        <v>13474.869999999994</v>
      </c>
      <c r="R50" s="376">
        <v>1</v>
      </c>
    </row>
    <row r="51" spans="2:18" x14ac:dyDescent="0.3">
      <c r="B51" s="94" t="s">
        <v>703</v>
      </c>
      <c r="C51" s="95">
        <f>-(SUMIF(CkReg16_1815171521[Category],"=" &amp;CategoryTable812101416181622[[#This Row],[Category]],CkReg16_1815171521[Withdrawal]))</f>
        <v>-1715</v>
      </c>
      <c r="D51" s="95">
        <v>-1715</v>
      </c>
      <c r="E51" s="95"/>
      <c r="F51" s="95">
        <f>-CategoryTable812101416181622[[#This Row],[Budget]]-CategoryTable812101416181622[[#This Row],[Amended Budget]]+CategoryTable812101416181622[[#This Row],[Actual to date]]</f>
        <v>0</v>
      </c>
      <c r="G51" s="95"/>
      <c r="H51" s="286"/>
      <c r="I51" s="383">
        <v>44227</v>
      </c>
      <c r="J51" s="285"/>
      <c r="K51" s="285" t="s">
        <v>984</v>
      </c>
      <c r="L51" s="285" t="s">
        <v>219</v>
      </c>
      <c r="M51" s="446"/>
      <c r="N51" s="496">
        <v>16.309999999999999</v>
      </c>
      <c r="O51" s="451">
        <f>IF(ISBLANK(CkReg16_1815171521[[#This Row],[Withdrawal]]),O50+CkReg16_1815171521[[#This Row],[Deposit]],O50-CkReg16_1815171521[[#This Row],[Withdrawal]])</f>
        <v>4776.1800000000021</v>
      </c>
      <c r="P51" s="504">
        <v>44227</v>
      </c>
      <c r="Q51" s="451">
        <f>IF(ISBLANK(CkReg16_1815171521[[#This Row],[Withdrawal]]),Q50+CkReg16_1815171521[[#This Row],[Deposit]],Q50-CkReg16_1815171521[[#This Row],[Withdrawal]])</f>
        <v>13491.179999999993</v>
      </c>
      <c r="R51" s="504">
        <v>44227</v>
      </c>
    </row>
    <row r="52" spans="2:18" x14ac:dyDescent="0.3">
      <c r="B52" s="94" t="s">
        <v>704</v>
      </c>
      <c r="C52" s="95">
        <f>-(SUMIF(CkReg16_1815171521[Category],"=" &amp;CategoryTable812101416181622[[#This Row],[Category]],CkReg16_1815171521[Withdrawal]))</f>
        <v>0</v>
      </c>
      <c r="D52" s="95">
        <v>0</v>
      </c>
      <c r="E52" s="95"/>
      <c r="F52" s="95">
        <f>-CategoryTable812101416181622[[#This Row],[Budget]]-CategoryTable812101416181622[[#This Row],[Amended Budget]]+CategoryTable812101416181622[[#This Row],[Actual to date]]</f>
        <v>0</v>
      </c>
      <c r="G52" s="95"/>
      <c r="H52" s="286"/>
      <c r="I52" s="383">
        <v>44230</v>
      </c>
      <c r="J52" s="285"/>
      <c r="K52" s="285" t="s">
        <v>1005</v>
      </c>
      <c r="L52" s="285" t="s">
        <v>982</v>
      </c>
      <c r="M52" s="446"/>
      <c r="N52" s="496">
        <v>-0.45</v>
      </c>
      <c r="O52" s="451">
        <f>IF(ISBLANK(CkReg16_1815171521[[#This Row],[Withdrawal]]),O51+CkReg16_1815171521[[#This Row],[Deposit]],O51-CkReg16_1815171521[[#This Row],[Withdrawal]])</f>
        <v>4775.7300000000023</v>
      </c>
      <c r="P52" s="504">
        <v>44231</v>
      </c>
      <c r="Q52" s="451">
        <f>IF(ISBLANK(CkReg16_1815171521[[#This Row],[Withdrawal]]),Q51+CkReg16_1815171521[[#This Row],[Deposit]],Q51-CkReg16_1815171521[[#This Row],[Withdrawal]])</f>
        <v>13490.729999999992</v>
      </c>
      <c r="R52" s="376">
        <v>1</v>
      </c>
    </row>
    <row r="53" spans="2:18" x14ac:dyDescent="0.3">
      <c r="B53" s="94" t="s">
        <v>55</v>
      </c>
      <c r="C53" s="95">
        <f>-(SUMIF(CkReg16_1815171521[Category],"=" &amp;CategoryTable812101416181622[[#This Row],[Category]],CkReg16_1815171521[Withdrawal]))</f>
        <v>-3000</v>
      </c>
      <c r="D53" s="95">
        <v>-3000</v>
      </c>
      <c r="E53" s="95"/>
      <c r="F53" s="95">
        <f>-CategoryTable812101416181622[[#This Row],[Budget]]-CategoryTable812101416181622[[#This Row],[Amended Budget]]+CategoryTable812101416181622[[#This Row],[Actual to date]]</f>
        <v>0</v>
      </c>
      <c r="G53" s="95"/>
      <c r="H53" s="286"/>
      <c r="I53" s="383">
        <v>44230</v>
      </c>
      <c r="J53" s="285"/>
      <c r="K53" s="285" t="s">
        <v>1004</v>
      </c>
      <c r="L53" s="285" t="s">
        <v>982</v>
      </c>
      <c r="M53" s="446"/>
      <c r="N53" s="496">
        <v>5</v>
      </c>
      <c r="O53" s="451">
        <f>IF(ISBLANK(CkReg16_1815171521[[#This Row],[Withdrawal]]),O52+CkReg16_1815171521[[#This Row],[Deposit]],O52-CkReg16_1815171521[[#This Row],[Withdrawal]])</f>
        <v>4780.7300000000023</v>
      </c>
      <c r="P53" s="504">
        <v>44231</v>
      </c>
      <c r="Q53" s="451">
        <f>IF(ISBLANK(CkReg16_1815171521[[#This Row],[Withdrawal]]),Q52+CkReg16_1815171521[[#This Row],[Deposit]],Q52-CkReg16_1815171521[[#This Row],[Withdrawal]])</f>
        <v>13495.729999999992</v>
      </c>
      <c r="R53" s="376">
        <v>1</v>
      </c>
    </row>
    <row r="54" spans="2:18" x14ac:dyDescent="0.3">
      <c r="B54" s="94" t="s">
        <v>56</v>
      </c>
      <c r="C54" s="95">
        <f>-(SUMIF(CkReg16_1815171521[Category],"=" &amp;CategoryTable812101416181622[[#This Row],[Category]],CkReg16_1815171521[Withdrawal]))</f>
        <v>-4000</v>
      </c>
      <c r="D54" s="95">
        <v>-4000</v>
      </c>
      <c r="E54" s="95"/>
      <c r="F54" s="95">
        <f>-CategoryTable812101416181622[[#This Row],[Budget]]-CategoryTable812101416181622[[#This Row],[Amended Budget]]+CategoryTable812101416181622[[#This Row],[Actual to date]]</f>
        <v>0</v>
      </c>
      <c r="G54" s="95"/>
      <c r="H54" s="286"/>
      <c r="I54" s="383">
        <v>44233</v>
      </c>
      <c r="J54" s="285" t="s">
        <v>395</v>
      </c>
      <c r="K54" s="285" t="s">
        <v>1005</v>
      </c>
      <c r="L54" s="285" t="s">
        <v>219</v>
      </c>
      <c r="M54" s="446"/>
      <c r="N54" s="496">
        <v>-1.17</v>
      </c>
      <c r="O54" s="451">
        <f>IF(ISBLANK(CkReg16_1815171521[[#This Row],[Withdrawal]]),O53+CkReg16_1815171521[[#This Row],[Deposit]],O53-CkReg16_1815171521[[#This Row],[Withdrawal]])</f>
        <v>4779.5600000000022</v>
      </c>
      <c r="P54" s="504">
        <v>44235</v>
      </c>
      <c r="Q54" s="451">
        <f>IF(ISBLANK(CkReg16_1815171521[[#This Row],[Withdrawal]]),Q53+CkReg16_1815171521[[#This Row],[Deposit]],Q53-CkReg16_1815171521[[#This Row],[Withdrawal]])</f>
        <v>13494.559999999992</v>
      </c>
      <c r="R54" s="504">
        <v>1</v>
      </c>
    </row>
    <row r="55" spans="2:18" x14ac:dyDescent="0.3">
      <c r="B55" s="94" t="s">
        <v>590</v>
      </c>
      <c r="C55" s="95">
        <f>-(SUMIF(CkReg16_1815171521[Category],"=" &amp;CategoryTable812101416181622[[#This Row],[Category]],CkReg16_1815171521[Withdrawal]))</f>
        <v>0</v>
      </c>
      <c r="D55" s="95">
        <v>0</v>
      </c>
      <c r="E55" s="95"/>
      <c r="F55" s="95">
        <f>-CategoryTable812101416181622[[#This Row],[Budget]]-CategoryTable812101416181622[[#This Row],[Amended Budget]]+CategoryTable812101416181622[[#This Row],[Actual to date]]</f>
        <v>0</v>
      </c>
      <c r="G55" s="95"/>
      <c r="H55" s="286"/>
      <c r="I55" s="383">
        <v>44233</v>
      </c>
      <c r="J55" s="285" t="s">
        <v>395</v>
      </c>
      <c r="K55" s="285" t="s">
        <v>988</v>
      </c>
      <c r="L55" s="285" t="s">
        <v>219</v>
      </c>
      <c r="M55" s="446"/>
      <c r="N55" s="496">
        <v>30</v>
      </c>
      <c r="O55" s="451">
        <f>IF(ISBLANK(CkReg16_1815171521[[#This Row],[Withdrawal]]),O54+CkReg16_1815171521[[#This Row],[Deposit]],O54-CkReg16_1815171521[[#This Row],[Withdrawal]])</f>
        <v>4809.5600000000022</v>
      </c>
      <c r="P55" s="504">
        <v>44235</v>
      </c>
      <c r="Q55" s="451">
        <f>IF(ISBLANK(CkReg16_1815171521[[#This Row],[Withdrawal]]),Q54+CkReg16_1815171521[[#This Row],[Deposit]],Q54-CkReg16_1815171521[[#This Row],[Withdrawal]])</f>
        <v>13524.559999999992</v>
      </c>
      <c r="R55" s="504">
        <v>1</v>
      </c>
    </row>
    <row r="56" spans="2:18" x14ac:dyDescent="0.3">
      <c r="B56" s="94" t="s">
        <v>943</v>
      </c>
      <c r="C56" s="95">
        <f>-(SUMIF(CkReg16_1815171521[Category],"=" &amp;CategoryTable812101416181622[[#This Row],[Category]],CkReg16_1815171521[Withdrawal]))</f>
        <v>0</v>
      </c>
      <c r="D56" s="95">
        <v>-875</v>
      </c>
      <c r="E56" s="95"/>
      <c r="F56" s="95">
        <f>-CategoryTable812101416181622[[#This Row],[Budget]]-CategoryTable812101416181622[[#This Row],[Amended Budget]]+CategoryTable812101416181622[[#This Row],[Actual to date]]</f>
        <v>875</v>
      </c>
      <c r="G56" s="95"/>
      <c r="H56" s="286"/>
      <c r="I56" s="383">
        <v>44234</v>
      </c>
      <c r="J56" s="285"/>
      <c r="K56" s="285" t="s">
        <v>1005</v>
      </c>
      <c r="L56" s="285" t="s">
        <v>392</v>
      </c>
      <c r="M56" s="446"/>
      <c r="N56" s="496">
        <v>-0.59</v>
      </c>
      <c r="O56" s="451">
        <f>IF(ISBLANK(CkReg16_1815171521[[#This Row],[Withdrawal]]),O55+CkReg16_1815171521[[#This Row],[Deposit]],O55-CkReg16_1815171521[[#This Row],[Withdrawal]])</f>
        <v>4808.9700000000021</v>
      </c>
      <c r="P56" s="504">
        <v>44235</v>
      </c>
      <c r="Q56" s="451">
        <f>IF(ISBLANK(CkReg16_1815171521[[#This Row],[Withdrawal]]),Q55+CkReg16_1815171521[[#This Row],[Deposit]],Q55-CkReg16_1815171521[[#This Row],[Withdrawal]])</f>
        <v>13523.969999999992</v>
      </c>
      <c r="R56" s="504">
        <v>1</v>
      </c>
    </row>
    <row r="57" spans="2:18" x14ac:dyDescent="0.3">
      <c r="B57" s="94" t="s">
        <v>944</v>
      </c>
      <c r="C57" s="95">
        <f>-(SUMIF(CkReg16_1815171521[Category],"=" &amp;CategoryTable812101416181622[[#This Row],[Category]],CkReg16_1815171521[Withdrawal]))</f>
        <v>0</v>
      </c>
      <c r="D57" s="95">
        <v>-275</v>
      </c>
      <c r="E57" s="95"/>
      <c r="F57" s="95">
        <f>-CategoryTable812101416181622[[#This Row],[Budget]]-CategoryTable812101416181622[[#This Row],[Amended Budget]]+CategoryTable812101416181622[[#This Row],[Actual to date]]</f>
        <v>275</v>
      </c>
      <c r="G57" s="95"/>
      <c r="H57" s="286"/>
      <c r="I57" s="383">
        <v>44234</v>
      </c>
      <c r="J57" s="285"/>
      <c r="K57" s="285" t="s">
        <v>1005</v>
      </c>
      <c r="L57" s="285" t="s">
        <v>392</v>
      </c>
      <c r="M57" s="446"/>
      <c r="N57" s="496">
        <v>-0.45</v>
      </c>
      <c r="O57" s="451">
        <f>IF(ISBLANK(CkReg16_1815171521[[#This Row],[Withdrawal]]),O56+CkReg16_1815171521[[#This Row],[Deposit]],O56-CkReg16_1815171521[[#This Row],[Withdrawal]])</f>
        <v>4808.5200000000023</v>
      </c>
      <c r="P57" s="504">
        <v>44235</v>
      </c>
      <c r="Q57" s="451">
        <f>IF(ISBLANK(CkReg16_1815171521[[#This Row],[Withdrawal]]),Q56+CkReg16_1815171521[[#This Row],[Deposit]],Q56-CkReg16_1815171521[[#This Row],[Withdrawal]])</f>
        <v>13523.519999999991</v>
      </c>
      <c r="R57" s="504">
        <v>1</v>
      </c>
    </row>
    <row r="58" spans="2:18" x14ac:dyDescent="0.3">
      <c r="B58" s="488" t="s">
        <v>60</v>
      </c>
      <c r="C58" s="95">
        <f>SUMIF(CkReg16_1815171521[Category],"=" &amp;CategoryTable812101416181622[[#This Row],[Category]],CkReg16_1815171521[Deposit])</f>
        <v>9345</v>
      </c>
      <c r="D58" s="489">
        <v>5500</v>
      </c>
      <c r="E58" s="489"/>
      <c r="F58" s="95">
        <f>-CategoryTable812101416181622[[#This Row],[Budget]]-CategoryTable812101416181622[[#This Row],[Amended Budget]]+CategoryTable812101416181622[[#This Row],[Actual to date]]</f>
        <v>3845</v>
      </c>
      <c r="G58" s="95"/>
      <c r="H58" s="286"/>
      <c r="I58" s="383">
        <v>44234</v>
      </c>
      <c r="J58" s="285"/>
      <c r="K58" s="285" t="s">
        <v>1005</v>
      </c>
      <c r="L58" s="285" t="s">
        <v>392</v>
      </c>
      <c r="M58" s="446"/>
      <c r="N58" s="496">
        <v>-0.45</v>
      </c>
      <c r="O58" s="451">
        <f>IF(ISBLANK(CkReg16_1815171521[[#This Row],[Withdrawal]]),O57+CkReg16_1815171521[[#This Row],[Deposit]],O57-CkReg16_1815171521[[#This Row],[Withdrawal]])</f>
        <v>4808.0700000000024</v>
      </c>
      <c r="P58" s="504">
        <v>44235</v>
      </c>
      <c r="Q58" s="451">
        <f>IF(ISBLANK(CkReg16_1815171521[[#This Row],[Withdrawal]]),Q57+CkReg16_1815171521[[#This Row],[Deposit]],Q57-CkReg16_1815171521[[#This Row],[Withdrawal]])</f>
        <v>13523.069999999991</v>
      </c>
      <c r="R58" s="504">
        <v>1</v>
      </c>
    </row>
    <row r="59" spans="2:18" x14ac:dyDescent="0.3">
      <c r="B59" s="94" t="s">
        <v>1067</v>
      </c>
      <c r="C59" s="95">
        <f>SUMIF(CkReg16_1815171521[Category],"=" &amp;CategoryTable812101416181622[[#This Row],[Category]],CkReg16_1815171521[Deposit])</f>
        <v>410.5</v>
      </c>
      <c r="D59" s="95"/>
      <c r="E59" s="95">
        <f>+CategoryTable812101416181622[[#This Row],[Budget]]</f>
        <v>0</v>
      </c>
      <c r="F59" s="95">
        <f>-CategoryTable812101416181622[[#This Row],[Budget]]+CategoryTable812101416181622[[#This Row],[Actual to date]]</f>
        <v>410.5</v>
      </c>
      <c r="G59" s="95"/>
      <c r="H59" s="286"/>
      <c r="I59" s="383">
        <v>44234</v>
      </c>
      <c r="J59" s="285"/>
      <c r="K59" s="285" t="s">
        <v>1005</v>
      </c>
      <c r="L59" s="285" t="s">
        <v>392</v>
      </c>
      <c r="M59" s="446"/>
      <c r="N59" s="496">
        <v>-0.45</v>
      </c>
      <c r="O59" s="451">
        <f>IF(ISBLANK(CkReg16_1815171521[[#This Row],[Withdrawal]]),O58+CkReg16_1815171521[[#This Row],[Deposit]],O58-CkReg16_1815171521[[#This Row],[Withdrawal]])</f>
        <v>4807.6200000000026</v>
      </c>
      <c r="P59" s="504">
        <v>44235</v>
      </c>
      <c r="Q59" s="451">
        <f>IF(ISBLANK(CkReg16_1815171521[[#This Row],[Withdrawal]]),Q58+CkReg16_1815171521[[#This Row],[Deposit]],Q58-CkReg16_1815171521[[#This Row],[Withdrawal]])</f>
        <v>13522.61999999999</v>
      </c>
      <c r="R59" s="504">
        <v>1</v>
      </c>
    </row>
    <row r="60" spans="2:18" x14ac:dyDescent="0.3">
      <c r="B60" s="94" t="s">
        <v>61</v>
      </c>
      <c r="C60" s="95">
        <f>SUMIF(CkReg16_1815171521[Category],"=" &amp;CategoryTable812101416181622[[#This Row],[Category]],CkReg16_1815171521[Deposit])</f>
        <v>17380</v>
      </c>
      <c r="D60" s="95">
        <v>14500</v>
      </c>
      <c r="E60" s="95"/>
      <c r="F60" s="95">
        <f>-CategoryTable812101416181622[[#This Row],[Budget]]-CategoryTable812101416181622[[#This Row],[Amended Budget]]+CategoryTable812101416181622[[#This Row],[Actual to date]]</f>
        <v>2880</v>
      </c>
      <c r="G60" s="95"/>
      <c r="H60" s="286"/>
      <c r="I60" s="383">
        <v>44234</v>
      </c>
      <c r="J60" s="285"/>
      <c r="K60" s="285" t="s">
        <v>1004</v>
      </c>
      <c r="L60" s="285" t="s">
        <v>392</v>
      </c>
      <c r="M60" s="446"/>
      <c r="N60" s="496">
        <v>5</v>
      </c>
      <c r="O60" s="451">
        <f>IF(ISBLANK(CkReg16_1815171521[[#This Row],[Withdrawal]]),O59+CkReg16_1815171521[[#This Row],[Deposit]],O59-CkReg16_1815171521[[#This Row],[Withdrawal]])</f>
        <v>4812.6200000000026</v>
      </c>
      <c r="P60" s="504">
        <v>44235</v>
      </c>
      <c r="Q60" s="451">
        <f>IF(ISBLANK(CkReg16_1815171521[[#This Row],[Withdrawal]]),Q59+CkReg16_1815171521[[#This Row],[Deposit]],Q59-CkReg16_1815171521[[#This Row],[Withdrawal]])</f>
        <v>13527.61999999999</v>
      </c>
      <c r="R60" s="504">
        <v>1</v>
      </c>
    </row>
    <row r="61" spans="2:18" x14ac:dyDescent="0.3">
      <c r="B61" s="94" t="s">
        <v>62</v>
      </c>
      <c r="C61" s="95">
        <f>-(SUMIF(CkReg16_1815171521[Category],"=" &amp;CategoryTable812101416181622[[#This Row],[Category]],CkReg16_1815171521[Withdrawal]))</f>
        <v>0</v>
      </c>
      <c r="D61" s="95">
        <v>-100</v>
      </c>
      <c r="E61" s="95"/>
      <c r="F61" s="95">
        <f>-CategoryTable812101416181622[[#This Row],[Budget]]-CategoryTable812101416181622[[#This Row],[Amended Budget]]+CategoryTable812101416181622[[#This Row],[Actual to date]]</f>
        <v>100</v>
      </c>
      <c r="G61" s="95"/>
      <c r="H61" s="286"/>
      <c r="I61" s="383">
        <v>44234</v>
      </c>
      <c r="J61" s="285"/>
      <c r="K61" s="285" t="s">
        <v>1004</v>
      </c>
      <c r="L61" s="285" t="s">
        <v>392</v>
      </c>
      <c r="M61" s="446"/>
      <c r="N61" s="496">
        <v>5</v>
      </c>
      <c r="O61" s="451">
        <f>IF(ISBLANK(CkReg16_1815171521[[#This Row],[Withdrawal]]),O60+CkReg16_1815171521[[#This Row],[Deposit]],O60-CkReg16_1815171521[[#This Row],[Withdrawal]])</f>
        <v>4817.6200000000026</v>
      </c>
      <c r="P61" s="504">
        <v>44235</v>
      </c>
      <c r="Q61" s="451">
        <f>IF(ISBLANK(CkReg16_1815171521[[#This Row],[Withdrawal]]),Q60+CkReg16_1815171521[[#This Row],[Deposit]],Q60-CkReg16_1815171521[[#This Row],[Withdrawal]])</f>
        <v>13532.61999999999</v>
      </c>
      <c r="R61" s="504">
        <v>1</v>
      </c>
    </row>
    <row r="62" spans="2:18" x14ac:dyDescent="0.3">
      <c r="B62" s="94" t="s">
        <v>63</v>
      </c>
      <c r="C62" s="95">
        <f>-(SUMIF(CkReg16_1815171521[Category],"=" &amp;CategoryTable812101416181622[[#This Row],[Category]],CkReg16_1815171521[Withdrawal]))</f>
        <v>0</v>
      </c>
      <c r="D62" s="95">
        <v>-100</v>
      </c>
      <c r="E62" s="95"/>
      <c r="F62" s="95">
        <f>-CategoryTable812101416181622[[#This Row],[Budget]]-CategoryTable812101416181622[[#This Row],[Amended Budget]]+CategoryTable812101416181622[[#This Row],[Actual to date]]</f>
        <v>100</v>
      </c>
      <c r="G62" s="95"/>
      <c r="H62" s="286"/>
      <c r="I62" s="383">
        <v>44234</v>
      </c>
      <c r="J62" s="285"/>
      <c r="K62" s="285" t="s">
        <v>1004</v>
      </c>
      <c r="L62" s="285" t="s">
        <v>392</v>
      </c>
      <c r="M62" s="446"/>
      <c r="N62" s="497">
        <v>5</v>
      </c>
      <c r="O62" s="451">
        <f>IF(ISBLANK(CkReg16_1815171521[[#This Row],[Withdrawal]]),O61+CkReg16_1815171521[[#This Row],[Deposit]],O61-CkReg16_1815171521[[#This Row],[Withdrawal]])</f>
        <v>4822.6200000000026</v>
      </c>
      <c r="P62" s="504">
        <v>44235</v>
      </c>
      <c r="Q62" s="451">
        <f>IF(ISBLANK(CkReg16_1815171521[[#This Row],[Withdrawal]]),Q61+CkReg16_1815171521[[#This Row],[Deposit]],Q61-CkReg16_1815171521[[#This Row],[Withdrawal]])</f>
        <v>13537.61999999999</v>
      </c>
      <c r="R62" s="504">
        <v>1</v>
      </c>
    </row>
    <row r="63" spans="2:18" x14ac:dyDescent="0.3">
      <c r="B63" s="94" t="s">
        <v>64</v>
      </c>
      <c r="C63" s="95">
        <f>-(SUMIF(CkReg16_1815171521[Category],"=" &amp;CategoryTable812101416181622[[#This Row],[Category]],CkReg16_1815171521[Withdrawal]))</f>
        <v>-50</v>
      </c>
      <c r="D63" s="95">
        <v>-50</v>
      </c>
      <c r="E63" s="95"/>
      <c r="F63" s="95">
        <f>-CategoryTable812101416181622[[#This Row],[Budget]]-CategoryTable812101416181622[[#This Row],[Amended Budget]]+CategoryTable812101416181622[[#This Row],[Actual to date]]</f>
        <v>0</v>
      </c>
      <c r="G63" s="95"/>
      <c r="H63" s="286"/>
      <c r="I63" s="383">
        <v>44234</v>
      </c>
      <c r="J63" s="285"/>
      <c r="K63" s="285" t="s">
        <v>1004</v>
      </c>
      <c r="L63" s="285" t="s">
        <v>392</v>
      </c>
      <c r="M63" s="446"/>
      <c r="N63" s="496">
        <v>10</v>
      </c>
      <c r="O63" s="451">
        <f>IF(ISBLANK(CkReg16_1815171521[[#This Row],[Withdrawal]]),O62+CkReg16_1815171521[[#This Row],[Deposit]],O62-CkReg16_1815171521[[#This Row],[Withdrawal]])</f>
        <v>4832.6200000000026</v>
      </c>
      <c r="P63" s="504">
        <v>44235</v>
      </c>
      <c r="Q63" s="451">
        <f>IF(ISBLANK(CkReg16_1815171521[[#This Row],[Withdrawal]]),Q62+CkReg16_1815171521[[#This Row],[Deposit]],Q62-CkReg16_1815171521[[#This Row],[Withdrawal]])</f>
        <v>13547.61999999999</v>
      </c>
      <c r="R63" s="504">
        <v>1</v>
      </c>
    </row>
    <row r="64" spans="2:18" x14ac:dyDescent="0.3">
      <c r="B64" s="94" t="s">
        <v>65</v>
      </c>
      <c r="C64" s="95">
        <f>-(SUMIF(CkReg16_1815171521[Category],"=" &amp;CategoryTable812101416181622[[#This Row],[Category]],CkReg16_1815171521[Withdrawal]))</f>
        <v>-50</v>
      </c>
      <c r="D64" s="95">
        <v>-50</v>
      </c>
      <c r="E64" s="95"/>
      <c r="F64" s="95">
        <f>-CategoryTable812101416181622[[#This Row],[Budget]]-CategoryTable812101416181622[[#This Row],[Amended Budget]]+CategoryTable812101416181622[[#This Row],[Actual to date]]</f>
        <v>0</v>
      </c>
      <c r="G64" s="95"/>
      <c r="H64" s="286"/>
      <c r="I64" s="383">
        <v>44241</v>
      </c>
      <c r="J64" s="285"/>
      <c r="K64" s="285" t="s">
        <v>1005</v>
      </c>
      <c r="L64" s="285" t="s">
        <v>392</v>
      </c>
      <c r="M64" s="446"/>
      <c r="N64" s="496">
        <v>-0.45</v>
      </c>
      <c r="O64" s="451">
        <f>IF(ISBLANK(CkReg16_1815171521[[#This Row],[Withdrawal]]),O63+CkReg16_1815171521[[#This Row],[Deposit]],O63-CkReg16_1815171521[[#This Row],[Withdrawal]])</f>
        <v>4832.1700000000028</v>
      </c>
      <c r="P64" s="504">
        <v>44243</v>
      </c>
      <c r="Q64" s="451">
        <f>IF(ISBLANK(CkReg16_1815171521[[#This Row],[Withdrawal]]),Q63+CkReg16_1815171521[[#This Row],[Deposit]],Q63-CkReg16_1815171521[[#This Row],[Withdrawal]])</f>
        <v>13547.169999999989</v>
      </c>
      <c r="R64" s="376">
        <v>1</v>
      </c>
    </row>
    <row r="65" spans="2:18" x14ac:dyDescent="0.3">
      <c r="B65" s="94" t="s">
        <v>66</v>
      </c>
      <c r="C65" s="95">
        <f>-(SUMIF(CkReg16_1815171521[Category],"=" &amp;CategoryTable812101416181622[[#This Row],[Category]],CkReg16_1815171521[Withdrawal]))</f>
        <v>-5152.28</v>
      </c>
      <c r="D65" s="95">
        <v>-4500</v>
      </c>
      <c r="E65" s="95"/>
      <c r="F65" s="95">
        <f>-CategoryTable812101416181622[[#This Row],[Budget]]-CategoryTable812101416181622[[#This Row],[Amended Budget]]+CategoryTable812101416181622[[#This Row],[Actual to date]]</f>
        <v>-652.27999999999975</v>
      </c>
      <c r="G65" s="95"/>
      <c r="H65" s="286"/>
      <c r="I65" s="383">
        <v>44241</v>
      </c>
      <c r="J65" s="285"/>
      <c r="K65" s="285" t="s">
        <v>1004</v>
      </c>
      <c r="L65" s="285" t="s">
        <v>392</v>
      </c>
      <c r="M65" s="446"/>
      <c r="N65" s="496">
        <v>5</v>
      </c>
      <c r="O65" s="451">
        <f>IF(ISBLANK(CkReg16_1815171521[[#This Row],[Withdrawal]]),O64+CkReg16_1815171521[[#This Row],[Deposit]],O64-CkReg16_1815171521[[#This Row],[Withdrawal]])</f>
        <v>4837.1700000000028</v>
      </c>
      <c r="P65" s="504">
        <v>44243</v>
      </c>
      <c r="Q65" s="451">
        <f>IF(ISBLANK(CkReg16_1815171521[[#This Row],[Withdrawal]]),Q64+CkReg16_1815171521[[#This Row],[Deposit]],Q64-CkReg16_1815171521[[#This Row],[Withdrawal]])</f>
        <v>13552.169999999989</v>
      </c>
      <c r="R65" s="376">
        <v>1</v>
      </c>
    </row>
    <row r="66" spans="2:18" x14ac:dyDescent="0.3">
      <c r="B66" s="94" t="s">
        <v>67</v>
      </c>
      <c r="C66" s="95">
        <f>-(SUMIF(CkReg16_1815171521[Category],"=" &amp;CategoryTable812101416181622[[#This Row],[Category]],CkReg16_1815171521[Withdrawal]))</f>
        <v>-4311.7</v>
      </c>
      <c r="D66" s="95">
        <v>-3865</v>
      </c>
      <c r="E66" s="95">
        <v>-1000</v>
      </c>
      <c r="F66" s="95">
        <f>-CategoryTable812101416181622[[#This Row],[Budget]]-CategoryTable812101416181622[[#This Row],[Amended Budget]]+CategoryTable812101416181622[[#This Row],[Actual to date]]</f>
        <v>553.30000000000018</v>
      </c>
      <c r="H66" s="286"/>
      <c r="I66" s="383">
        <v>44246</v>
      </c>
      <c r="J66" s="285"/>
      <c r="K66" s="285" t="s">
        <v>1005</v>
      </c>
      <c r="L66" s="285" t="s">
        <v>219</v>
      </c>
      <c r="M66" s="446"/>
      <c r="N66" s="496">
        <v>-3.2</v>
      </c>
      <c r="O66" s="451">
        <f>IF(ISBLANK(CkReg16_1815171521[[#This Row],[Withdrawal]]),O65+CkReg16_1815171521[[#This Row],[Deposit]],O65-CkReg16_1815171521[[#This Row],[Withdrawal]])</f>
        <v>4833.970000000003</v>
      </c>
      <c r="P66" s="504">
        <v>44249</v>
      </c>
      <c r="Q66" s="451">
        <f>IF(ISBLANK(CkReg16_1815171521[[#This Row],[Withdrawal]]),Q65+CkReg16_1815171521[[#This Row],[Deposit]],Q65-CkReg16_1815171521[[#This Row],[Withdrawal]])</f>
        <v>13548.969999999988</v>
      </c>
      <c r="R66" s="376">
        <v>1</v>
      </c>
    </row>
    <row r="67" spans="2:18" x14ac:dyDescent="0.3">
      <c r="B67" s="94" t="s">
        <v>918</v>
      </c>
      <c r="C67" s="95">
        <f>-(SUMIF(CkReg16_1815171521[Category],"=" &amp;CategoryTable812101416181622[[#This Row],[Category]],CkReg16_1815171521[Withdrawal]))</f>
        <v>-159.63</v>
      </c>
      <c r="D67" s="95">
        <v>-135</v>
      </c>
      <c r="E67" s="95"/>
      <c r="F67" s="95">
        <f>-CategoryTable812101416181622[[#This Row],[Budget]]-CategoryTable812101416181622[[#This Row],[Amended Budget]]+CategoryTable812101416181622[[#This Row],[Actual to date]]</f>
        <v>-24.629999999999995</v>
      </c>
      <c r="H67" s="286"/>
      <c r="I67" s="383">
        <v>44246</v>
      </c>
      <c r="J67" s="285"/>
      <c r="K67" s="285" t="s">
        <v>984</v>
      </c>
      <c r="L67" s="285" t="s">
        <v>219</v>
      </c>
      <c r="M67" s="446"/>
      <c r="N67" s="496">
        <v>100</v>
      </c>
      <c r="O67" s="451">
        <f>IF(ISBLANK(CkReg16_1815171521[[#This Row],[Withdrawal]]),O66+CkReg16_1815171521[[#This Row],[Deposit]],O66-CkReg16_1815171521[[#This Row],[Withdrawal]])</f>
        <v>4933.970000000003</v>
      </c>
      <c r="P67" s="504">
        <v>44249</v>
      </c>
      <c r="Q67" s="451">
        <f>IF(ISBLANK(CkReg16_1815171521[[#This Row],[Withdrawal]]),Q66+CkReg16_1815171521[[#This Row],[Deposit]],Q66-CkReg16_1815171521[[#This Row],[Withdrawal]])</f>
        <v>13648.969999999988</v>
      </c>
      <c r="R67" s="376">
        <v>1</v>
      </c>
    </row>
    <row r="68" spans="2:18" x14ac:dyDescent="0.3">
      <c r="B68" s="94" t="s">
        <v>68</v>
      </c>
      <c r="C68" s="95">
        <f>-(SUMIF(CkReg16_1815171521[Category],"=" &amp;CategoryTable812101416181622[[#This Row],[Category]],CkReg16_1815171521[Withdrawal]))</f>
        <v>-943.15000000000009</v>
      </c>
      <c r="D68" s="95">
        <v>-1000</v>
      </c>
      <c r="E68" s="95"/>
      <c r="F68" s="95">
        <f>-CategoryTable812101416181622[[#This Row],[Budget]]-CategoryTable812101416181622[[#This Row],[Amended Budget]]+CategoryTable812101416181622[[#This Row],[Actual to date]]</f>
        <v>56.849999999999909</v>
      </c>
      <c r="H68" s="286"/>
      <c r="I68" s="383">
        <v>44247</v>
      </c>
      <c r="J68" s="285"/>
      <c r="K68" s="285" t="s">
        <v>984</v>
      </c>
      <c r="L68" s="285" t="s">
        <v>219</v>
      </c>
      <c r="M68" s="446"/>
      <c r="N68" s="496">
        <v>-3.2</v>
      </c>
      <c r="O68" s="451">
        <f>IF(ISBLANK(CkReg16_1815171521[[#This Row],[Withdrawal]]),O67+CkReg16_1815171521[[#This Row],[Deposit]],O67-CkReg16_1815171521[[#This Row],[Withdrawal]])</f>
        <v>4930.7700000000032</v>
      </c>
      <c r="P68" s="504">
        <v>44249</v>
      </c>
      <c r="Q68" s="451">
        <f>IF(ISBLANK(CkReg16_1815171521[[#This Row],[Withdrawal]]),Q67+CkReg16_1815171521[[#This Row],[Deposit]],Q67-CkReg16_1815171521[[#This Row],[Withdrawal]])</f>
        <v>13645.769999999988</v>
      </c>
      <c r="R68" s="504">
        <v>1</v>
      </c>
    </row>
    <row r="69" spans="2:18" x14ac:dyDescent="0.3">
      <c r="B69" s="94" t="s">
        <v>69</v>
      </c>
      <c r="C69" s="95">
        <f>-(SUMIF(CkReg16_1815171521[Category],"=" &amp;CategoryTable812101416181622[[#This Row],[Category]],CkReg16_1815171521[Withdrawal]))</f>
        <v>-7201</v>
      </c>
      <c r="D69" s="95">
        <v>-5600</v>
      </c>
      <c r="E69" s="95"/>
      <c r="F69" s="95">
        <f>-CategoryTable812101416181622[[#This Row],[Budget]]-CategoryTable812101416181622[[#This Row],[Amended Budget]]+CategoryTable812101416181622[[#This Row],[Actual to date]]</f>
        <v>-1601</v>
      </c>
      <c r="H69" s="286"/>
      <c r="I69" s="383">
        <v>44247</v>
      </c>
      <c r="J69" s="285"/>
      <c r="K69" s="285" t="s">
        <v>984</v>
      </c>
      <c r="L69" s="285" t="s">
        <v>219</v>
      </c>
      <c r="M69" s="446"/>
      <c r="N69" s="496">
        <v>100</v>
      </c>
      <c r="O69" s="451">
        <f>IF(ISBLANK(CkReg16_1815171521[[#This Row],[Withdrawal]]),O68+CkReg16_1815171521[[#This Row],[Deposit]],O68-CkReg16_1815171521[[#This Row],[Withdrawal]])</f>
        <v>5030.7700000000032</v>
      </c>
      <c r="P69" s="504">
        <v>44249</v>
      </c>
      <c r="Q69" s="451">
        <f>IF(ISBLANK(CkReg16_1815171521[[#This Row],[Withdrawal]]),Q68+CkReg16_1815171521[[#This Row],[Deposit]],Q68-CkReg16_1815171521[[#This Row],[Withdrawal]])</f>
        <v>13745.769999999988</v>
      </c>
      <c r="R69" s="504">
        <v>1</v>
      </c>
    </row>
    <row r="70" spans="2:18" x14ac:dyDescent="0.3">
      <c r="B70" s="94" t="s">
        <v>920</v>
      </c>
      <c r="C70" s="95">
        <f>-(SUMIF(CkReg16_1815171521[Category],"=" &amp;CategoryTable812101416181622[[#This Row],[Category]],CkReg16_1815171521[Withdrawal]))</f>
        <v>-287.14999999999998</v>
      </c>
      <c r="D70" s="95">
        <v>-550</v>
      </c>
      <c r="E70" s="95"/>
      <c r="F70" s="95">
        <f>-CategoryTable812101416181622[[#This Row],[Budget]]-CategoryTable812101416181622[[#This Row],[Amended Budget]]+CategoryTable812101416181622[[#This Row],[Actual to date]]</f>
        <v>262.85000000000002</v>
      </c>
      <c r="H70" s="286"/>
      <c r="I70" s="383">
        <v>44248</v>
      </c>
      <c r="J70" s="285"/>
      <c r="K70" s="285" t="s">
        <v>1005</v>
      </c>
      <c r="L70" s="285" t="s">
        <v>392</v>
      </c>
      <c r="M70" s="446"/>
      <c r="N70" s="496">
        <v>-0.45</v>
      </c>
      <c r="O70" s="451">
        <f>IF(ISBLANK(CkReg16_1815171521[[#This Row],[Withdrawal]]),O69+CkReg16_1815171521[[#This Row],[Deposit]],O69-CkReg16_1815171521[[#This Row],[Withdrawal]])</f>
        <v>5030.3200000000033</v>
      </c>
      <c r="P70" s="504">
        <v>44249</v>
      </c>
      <c r="Q70" s="451">
        <f>IF(ISBLANK(CkReg16_1815171521[[#This Row],[Withdrawal]]),Q69+CkReg16_1815171521[[#This Row],[Deposit]],Q69-CkReg16_1815171521[[#This Row],[Withdrawal]])</f>
        <v>13745.319999999987</v>
      </c>
      <c r="R70" s="504">
        <v>1</v>
      </c>
    </row>
    <row r="71" spans="2:18" x14ac:dyDescent="0.3">
      <c r="B71" s="94" t="s">
        <v>919</v>
      </c>
      <c r="C71" s="95">
        <f>-(SUMIF(CkReg16_1815171521[Category],"=" &amp;CategoryTable812101416181622[[#This Row],[Category]],CkReg16_1815171521[Withdrawal]))</f>
        <v>-275.38000000000358</v>
      </c>
      <c r="D71" s="95">
        <v>-360</v>
      </c>
      <c r="E71" s="95"/>
      <c r="F71" s="95">
        <f>-CategoryTable812101416181622[[#This Row],[Budget]]-CategoryTable812101416181622[[#This Row],[Amended Budget]]+CategoryTable812101416181622[[#This Row],[Actual to date]]</f>
        <v>84.619999999996423</v>
      </c>
      <c r="H71" s="286"/>
      <c r="I71" s="383">
        <v>44248</v>
      </c>
      <c r="J71" s="285"/>
      <c r="K71" s="285" t="s">
        <v>1005</v>
      </c>
      <c r="L71" s="285" t="s">
        <v>392</v>
      </c>
      <c r="M71" s="446"/>
      <c r="N71" s="496">
        <v>-0.45</v>
      </c>
      <c r="O71" s="451">
        <f>IF(ISBLANK(CkReg16_1815171521[[#This Row],[Withdrawal]]),O70+CkReg16_1815171521[[#This Row],[Deposit]],O70-CkReg16_1815171521[[#This Row],[Withdrawal]])</f>
        <v>5029.8700000000035</v>
      </c>
      <c r="P71" s="504">
        <v>44249</v>
      </c>
      <c r="Q71" s="451">
        <f>IF(ISBLANK(CkReg16_1815171521[[#This Row],[Withdrawal]]),Q70+CkReg16_1815171521[[#This Row],[Deposit]],Q70-CkReg16_1815171521[[#This Row],[Withdrawal]])</f>
        <v>13744.869999999986</v>
      </c>
      <c r="R71" s="504">
        <v>1</v>
      </c>
    </row>
    <row r="72" spans="2:18" ht="12.75" customHeight="1" x14ac:dyDescent="0.3">
      <c r="B72" s="94" t="s">
        <v>71</v>
      </c>
      <c r="C72" s="95">
        <f>-(SUMIF(CkReg16_1815171521[Category],"=" &amp;CategoryTable812101416181622[[#This Row],[Category]],CkReg16_1815171521[Withdrawal]))</f>
        <v>0</v>
      </c>
      <c r="D72" s="95">
        <v>-50</v>
      </c>
      <c r="E72" s="95"/>
      <c r="F72" s="95">
        <f>-CategoryTable812101416181622[[#This Row],[Budget]]-CategoryTable812101416181622[[#This Row],[Amended Budget]]+CategoryTable812101416181622[[#This Row],[Actual to date]]</f>
        <v>50</v>
      </c>
      <c r="H72" s="286"/>
      <c r="I72" s="383">
        <v>44248</v>
      </c>
      <c r="J72" s="285"/>
      <c r="K72" s="285" t="s">
        <v>1004</v>
      </c>
      <c r="L72" s="285" t="s">
        <v>392</v>
      </c>
      <c r="M72" s="446"/>
      <c r="N72" s="496">
        <v>5</v>
      </c>
      <c r="O72" s="451">
        <f>IF(ISBLANK(CkReg16_1815171521[[#This Row],[Withdrawal]]),O71+CkReg16_1815171521[[#This Row],[Deposit]],O71-CkReg16_1815171521[[#This Row],[Withdrawal]])</f>
        <v>5034.8700000000035</v>
      </c>
      <c r="P72" s="504">
        <v>44249</v>
      </c>
      <c r="Q72" s="451">
        <f>IF(ISBLANK(CkReg16_1815171521[[#This Row],[Withdrawal]]),Q71+CkReg16_1815171521[[#This Row],[Deposit]],Q71-CkReg16_1815171521[[#This Row],[Withdrawal]])</f>
        <v>13749.869999999986</v>
      </c>
      <c r="R72" s="504">
        <v>1</v>
      </c>
    </row>
    <row r="73" spans="2:18" ht="12.75" customHeight="1" x14ac:dyDescent="0.3">
      <c r="B73" s="94" t="s">
        <v>72</v>
      </c>
      <c r="C73" s="95">
        <f>-(SUMIF(CkReg16_1815171521[Category],"=" &amp;CategoryTable812101416181622[[#This Row],[Category]],CkReg16_1815171521[Withdrawal]))</f>
        <v>-700</v>
      </c>
      <c r="D73" s="95">
        <v>-250</v>
      </c>
      <c r="E73" s="95"/>
      <c r="F73" s="95">
        <f>-CategoryTable812101416181622[[#This Row],[Budget]]-CategoryTable812101416181622[[#This Row],[Amended Budget]]+CategoryTable812101416181622[[#This Row],[Actual to date]]</f>
        <v>-450</v>
      </c>
      <c r="H73" s="286"/>
      <c r="I73" s="383">
        <v>44248</v>
      </c>
      <c r="J73" s="285"/>
      <c r="K73" s="285" t="s">
        <v>1004</v>
      </c>
      <c r="L73" s="285" t="s">
        <v>392</v>
      </c>
      <c r="M73" s="446"/>
      <c r="N73" s="496">
        <v>5</v>
      </c>
      <c r="O73" s="451">
        <f>IF(ISBLANK(CkReg16_1815171521[[#This Row],[Withdrawal]]),O72+CkReg16_1815171521[[#This Row],[Deposit]],O72-CkReg16_1815171521[[#This Row],[Withdrawal]])</f>
        <v>5039.8700000000035</v>
      </c>
      <c r="P73" s="504">
        <v>44249</v>
      </c>
      <c r="Q73" s="451">
        <f>IF(ISBLANK(CkReg16_1815171521[[#This Row],[Withdrawal]]),Q72+CkReg16_1815171521[[#This Row],[Deposit]],Q72-CkReg16_1815171521[[#This Row],[Withdrawal]])</f>
        <v>13754.869999999986</v>
      </c>
      <c r="R73" s="504">
        <v>1</v>
      </c>
    </row>
    <row r="74" spans="2:18" x14ac:dyDescent="0.3">
      <c r="B74" s="94" t="s">
        <v>73</v>
      </c>
      <c r="C74" s="95">
        <f>-(SUMIF(CkReg16_1815171521[Category],"=" &amp;CategoryTable812101416181622[[#This Row],[Category]],CkReg16_1815171521[Withdrawal]))</f>
        <v>0</v>
      </c>
      <c r="D74" s="95">
        <v>-100</v>
      </c>
      <c r="E74" s="95"/>
      <c r="F74" s="95">
        <f>-CategoryTable812101416181622[[#This Row],[Budget]]-CategoryTable812101416181622[[#This Row],[Amended Budget]]+CategoryTable812101416181622[[#This Row],[Actual to date]]</f>
        <v>100</v>
      </c>
      <c r="H74" s="286">
        <v>3432</v>
      </c>
      <c r="I74" s="383">
        <v>44249</v>
      </c>
      <c r="J74" s="285" t="s">
        <v>156</v>
      </c>
      <c r="K74" s="285" t="s">
        <v>1008</v>
      </c>
      <c r="L74" s="285" t="s">
        <v>46</v>
      </c>
      <c r="M74" s="446">
        <v>263.83999999999997</v>
      </c>
      <c r="N74" s="497"/>
      <c r="O74" s="451">
        <f>IF(ISBLANK(CkReg16_1815171521[[#This Row],[Withdrawal]]),O73+CkReg16_1815171521[[#This Row],[Deposit]],O73-CkReg16_1815171521[[#This Row],[Withdrawal]])</f>
        <v>4776.0300000000034</v>
      </c>
      <c r="P74" s="504">
        <v>44257</v>
      </c>
      <c r="Q74" s="451">
        <f>IF(ISBLANK(CkReg16_1815171521[[#This Row],[Withdrawal]]),Q73+CkReg16_1815171521[[#This Row],[Deposit]],Q73-CkReg16_1815171521[[#This Row],[Withdrawal]])</f>
        <v>13491.029999999986</v>
      </c>
      <c r="R74" s="504">
        <v>1</v>
      </c>
    </row>
    <row r="75" spans="2:18" ht="14.4" thickBot="1" x14ac:dyDescent="0.35">
      <c r="B75" s="490" t="s">
        <v>74</v>
      </c>
      <c r="C75" s="95">
        <f>-(SUMIF(CkReg16_1815171521[Category],"=" &amp;CategoryTable812101416181622[[#This Row],[Category]],CkReg16_1815171521[Withdrawal]))</f>
        <v>-29.98</v>
      </c>
      <c r="D75" s="491">
        <v>-100</v>
      </c>
      <c r="E75" s="491"/>
      <c r="F75" s="95">
        <f>-CategoryTable812101416181622[[#This Row],[Budget]]-CategoryTable812101416181622[[#This Row],[Amended Budget]]+CategoryTable812101416181622[[#This Row],[Actual to date]]</f>
        <v>70.02</v>
      </c>
      <c r="H75" s="286">
        <v>3433</v>
      </c>
      <c r="I75" s="383">
        <v>44249</v>
      </c>
      <c r="J75" s="285" t="s">
        <v>1006</v>
      </c>
      <c r="K75" s="285" t="s">
        <v>1007</v>
      </c>
      <c r="L75" s="285" t="s">
        <v>46</v>
      </c>
      <c r="M75" s="446">
        <v>934.8</v>
      </c>
      <c r="N75" s="496"/>
      <c r="O75" s="451">
        <f>IF(ISBLANK(CkReg16_1815171521[[#This Row],[Withdrawal]]),O74+CkReg16_1815171521[[#This Row],[Deposit]],O74-CkReg16_1815171521[[#This Row],[Withdrawal]])</f>
        <v>3841.2300000000032</v>
      </c>
      <c r="P75" s="504">
        <v>44309</v>
      </c>
      <c r="Q75" s="451">
        <f>IF(ISBLANK(CkReg16_1815171521[[#This Row],[Withdrawal]]),Q74+CkReg16_1815171521[[#This Row],[Deposit]],Q74-CkReg16_1815171521[[#This Row],[Withdrawal]])</f>
        <v>12556.229999999987</v>
      </c>
      <c r="R75" s="504">
        <v>1</v>
      </c>
    </row>
    <row r="76" spans="2:18" ht="15" thickTop="1" thickBot="1" x14ac:dyDescent="0.35">
      <c r="B76" s="492" t="s">
        <v>462</v>
      </c>
      <c r="C76" s="493">
        <f>SUBTOTAL(109,C17:C75)</f>
        <v>11477.739999999994</v>
      </c>
      <c r="D76" s="493">
        <f>SUBTOTAL(109,D17:D75)</f>
        <v>0</v>
      </c>
      <c r="E76" s="493">
        <f>SUBTOTAL(109,E17:E75)</f>
        <v>-345.93000000000006</v>
      </c>
      <c r="F76" s="493">
        <f>SUBTOTAL(109,F17:F75)</f>
        <v>11823.669999999998</v>
      </c>
      <c r="H76" s="286"/>
      <c r="I76" s="383">
        <v>44253</v>
      </c>
      <c r="J76" s="285"/>
      <c r="K76" s="285" t="s">
        <v>1009</v>
      </c>
      <c r="L76" s="285" t="s">
        <v>91</v>
      </c>
      <c r="M76" s="446"/>
      <c r="N76" s="496">
        <v>0.1</v>
      </c>
      <c r="O76" s="451">
        <f>IF(ISBLANK(CkReg16_1815171521[[#This Row],[Withdrawal]]),O75+CkReg16_1815171521[[#This Row],[Deposit]],O75-CkReg16_1815171521[[#This Row],[Withdrawal]])</f>
        <v>3841.3300000000031</v>
      </c>
      <c r="P76" s="504">
        <v>44253</v>
      </c>
      <c r="Q76" s="451">
        <f>IF(ISBLANK(CkReg16_1815171521[[#This Row],[Withdrawal]]),Q75+CkReg16_1815171521[[#This Row],[Deposit]],Q75-CkReg16_1815171521[[#This Row],[Withdrawal]])</f>
        <v>12556.329999999987</v>
      </c>
      <c r="R76" s="504">
        <v>1</v>
      </c>
    </row>
    <row r="77" spans="2:18" ht="14.4" thickTop="1" x14ac:dyDescent="0.3">
      <c r="B77" s="94" t="s">
        <v>950</v>
      </c>
      <c r="C77" s="95">
        <f>SUM(C57:C75)</f>
        <v>7975.2299999999959</v>
      </c>
      <c r="D77" s="95">
        <f>SUM(D58:D75)</f>
        <v>3190</v>
      </c>
      <c r="E77" s="95"/>
      <c r="F77" s="95">
        <f>SUM(F57:F75)</f>
        <v>6060.2299999999968</v>
      </c>
      <c r="H77" s="286"/>
      <c r="I77" s="383">
        <v>44255</v>
      </c>
      <c r="J77" s="285"/>
      <c r="K77" s="285" t="s">
        <v>1005</v>
      </c>
      <c r="L77" s="285" t="s">
        <v>392</v>
      </c>
      <c r="M77" s="446"/>
      <c r="N77" s="496">
        <v>-0.45</v>
      </c>
      <c r="O77" s="451">
        <f>IF(ISBLANK(CkReg16_1815171521[[#This Row],[Withdrawal]]),O76+CkReg16_1815171521[[#This Row],[Deposit]],O76-CkReg16_1815171521[[#This Row],[Withdrawal]])</f>
        <v>3840.8800000000033</v>
      </c>
      <c r="P77" s="504">
        <v>44256</v>
      </c>
      <c r="Q77" s="451">
        <f>IF(ISBLANK(CkReg16_1815171521[[#This Row],[Withdrawal]]),Q76+CkReg16_1815171521[[#This Row],[Deposit]],Q76-CkReg16_1815171521[[#This Row],[Withdrawal]])</f>
        <v>12555.879999999986</v>
      </c>
      <c r="R77" s="504">
        <v>1</v>
      </c>
    </row>
    <row r="78" spans="2:18" ht="12.75" customHeight="1" x14ac:dyDescent="0.3">
      <c r="B78" s="94" t="s">
        <v>1074</v>
      </c>
      <c r="C78" s="95">
        <f>+C76-CkReg16_1815171521[[#Totals],[Available Balance]]</f>
        <v>2.1827872842550278E-11</v>
      </c>
      <c r="D78" s="95"/>
      <c r="E78" s="95"/>
      <c r="F78" s="95"/>
      <c r="H78" s="286"/>
      <c r="I78" s="383">
        <v>44255</v>
      </c>
      <c r="J78" s="285"/>
      <c r="K78" s="285" t="s">
        <v>1004</v>
      </c>
      <c r="L78" s="285" t="s">
        <v>392</v>
      </c>
      <c r="M78" s="446"/>
      <c r="N78" s="496">
        <v>5</v>
      </c>
      <c r="O78" s="451">
        <f>IF(ISBLANK(CkReg16_1815171521[[#This Row],[Withdrawal]]),O77+CkReg16_1815171521[[#This Row],[Deposit]],O77-CkReg16_1815171521[[#This Row],[Withdrawal]])</f>
        <v>3845.8800000000033</v>
      </c>
      <c r="P78" s="504">
        <v>44256</v>
      </c>
      <c r="Q78" s="451">
        <f>IF(ISBLANK(CkReg16_1815171521[[#This Row],[Withdrawal]]),Q77+CkReg16_1815171521[[#This Row],[Deposit]],Q77-CkReg16_1815171521[[#This Row],[Withdrawal]])</f>
        <v>12560.879999999986</v>
      </c>
      <c r="R78" s="376">
        <v>1</v>
      </c>
    </row>
    <row r="79" spans="2:18" x14ac:dyDescent="0.3">
      <c r="B79" s="94" t="s">
        <v>1075</v>
      </c>
      <c r="C79" s="95"/>
      <c r="D79" s="95"/>
      <c r="E79" s="95"/>
      <c r="F79" s="95"/>
      <c r="H79" s="286"/>
      <c r="I79" s="383">
        <v>44255</v>
      </c>
      <c r="J79" s="285"/>
      <c r="K79" s="285" t="s">
        <v>989</v>
      </c>
      <c r="L79" s="285" t="s">
        <v>946</v>
      </c>
      <c r="M79" s="446">
        <v>16.309999999999999</v>
      </c>
      <c r="N79" s="497"/>
      <c r="O79" s="451">
        <f>IF(ISBLANK(CkReg16_1815171521[[#This Row],[Withdrawal]]),O78+CkReg16_1815171521[[#This Row],[Deposit]],O78-CkReg16_1815171521[[#This Row],[Withdrawal]])</f>
        <v>3829.5700000000033</v>
      </c>
      <c r="P79" s="504">
        <v>44255</v>
      </c>
      <c r="Q79" s="451">
        <f>IF(ISBLANK(CkReg16_1815171521[[#This Row],[Withdrawal]]),Q78+CkReg16_1815171521[[#This Row],[Deposit]],Q78-CkReg16_1815171521[[#This Row],[Withdrawal]])</f>
        <v>12544.569999999987</v>
      </c>
      <c r="R79" s="376">
        <v>1</v>
      </c>
    </row>
    <row r="80" spans="2:18" x14ac:dyDescent="0.3">
      <c r="B80" s="467" t="s">
        <v>872</v>
      </c>
      <c r="C80" s="444"/>
      <c r="D80" s="444"/>
      <c r="E80" s="444"/>
      <c r="F80" s="445"/>
      <c r="H80" s="418"/>
      <c r="I80" s="383">
        <v>44255</v>
      </c>
      <c r="J80" s="419"/>
      <c r="K80" s="419" t="s">
        <v>984</v>
      </c>
      <c r="L80" s="419" t="s">
        <v>219</v>
      </c>
      <c r="M80" s="446"/>
      <c r="N80" s="496">
        <v>16.309999999999999</v>
      </c>
      <c r="O80" s="451">
        <f>IF(ISBLANK(CkReg16_1815171521[[#This Row],[Withdrawal]]),O79+CkReg16_1815171521[[#This Row],[Deposit]],O79-CkReg16_1815171521[[#This Row],[Withdrawal]])</f>
        <v>3845.8800000000033</v>
      </c>
      <c r="P80" s="504">
        <v>44255</v>
      </c>
      <c r="Q80" s="451">
        <f>IF(ISBLANK(CkReg16_1815171521[[#This Row],[Withdrawal]]),Q79+CkReg16_1815171521[[#This Row],[Deposit]],Q79-CkReg16_1815171521[[#This Row],[Withdrawal]])</f>
        <v>12560.879999999986</v>
      </c>
      <c r="R80" s="504">
        <v>44255</v>
      </c>
    </row>
    <row r="81" spans="2:18" x14ac:dyDescent="0.3">
      <c r="B81" s="550" t="s">
        <v>977</v>
      </c>
      <c r="C81" s="551"/>
      <c r="D81" s="551"/>
      <c r="E81" s="551"/>
      <c r="F81" s="552"/>
      <c r="H81" s="286"/>
      <c r="I81" s="383">
        <v>44262</v>
      </c>
      <c r="J81" s="285"/>
      <c r="K81" s="285" t="s">
        <v>1005</v>
      </c>
      <c r="L81" s="285" t="s">
        <v>392</v>
      </c>
      <c r="M81" s="446"/>
      <c r="N81" s="497">
        <v>-0.45</v>
      </c>
      <c r="O81" s="451">
        <f>IF(ISBLANK(CkReg16_1815171521[[#This Row],[Withdrawal]]),O80+CkReg16_1815171521[[#This Row],[Deposit]],O80-CkReg16_1815171521[[#This Row],[Withdrawal]])</f>
        <v>3845.4300000000035</v>
      </c>
      <c r="P81" s="504">
        <v>44263</v>
      </c>
      <c r="Q81" s="451">
        <f>IF(ISBLANK(CkReg16_1815171521[[#This Row],[Withdrawal]]),Q80+CkReg16_1815171521[[#This Row],[Deposit]],Q80-CkReg16_1815171521[[#This Row],[Withdrawal]])</f>
        <v>12560.429999999986</v>
      </c>
      <c r="R81" s="376">
        <v>1</v>
      </c>
    </row>
    <row r="82" spans="2:18" x14ac:dyDescent="0.3">
      <c r="B82" s="550"/>
      <c r="C82" s="551"/>
      <c r="D82" s="551"/>
      <c r="E82" s="551"/>
      <c r="F82" s="552"/>
      <c r="H82" s="286"/>
      <c r="I82" s="383">
        <v>44262</v>
      </c>
      <c r="J82" s="285"/>
      <c r="K82" s="285" t="s">
        <v>1004</v>
      </c>
      <c r="L82" s="285" t="s">
        <v>392</v>
      </c>
      <c r="M82" s="446"/>
      <c r="N82" s="496">
        <v>5</v>
      </c>
      <c r="O82" s="451">
        <f>IF(ISBLANK(CkReg16_1815171521[[#This Row],[Withdrawal]]),O81+CkReg16_1815171521[[#This Row],[Deposit]],O81-CkReg16_1815171521[[#This Row],[Withdrawal]])</f>
        <v>3850.4300000000035</v>
      </c>
      <c r="P82" s="504">
        <v>44263</v>
      </c>
      <c r="Q82" s="451">
        <f>IF(ISBLANK(CkReg16_1815171521[[#This Row],[Withdrawal]]),Q81+CkReg16_1815171521[[#This Row],[Deposit]],Q81-CkReg16_1815171521[[#This Row],[Withdrawal]])</f>
        <v>12565.429999999986</v>
      </c>
      <c r="R82" s="376">
        <v>1</v>
      </c>
    </row>
    <row r="83" spans="2:18" x14ac:dyDescent="0.3">
      <c r="B83" s="550"/>
      <c r="C83" s="551"/>
      <c r="D83" s="551"/>
      <c r="E83" s="551"/>
      <c r="F83" s="552"/>
      <c r="H83" s="286"/>
      <c r="I83" s="383">
        <v>44263</v>
      </c>
      <c r="J83" s="285"/>
      <c r="K83" s="285" t="s">
        <v>1005</v>
      </c>
      <c r="L83" s="285" t="s">
        <v>982</v>
      </c>
      <c r="M83" s="446"/>
      <c r="N83" s="498">
        <v>-0.36</v>
      </c>
      <c r="O83" s="451">
        <f>IF(ISBLANK(CkReg16_1815171521[[#This Row],[Withdrawal]]),O82+CkReg16_1815171521[[#This Row],[Deposit]],O82-CkReg16_1815171521[[#This Row],[Withdrawal]])</f>
        <v>3850.0700000000033</v>
      </c>
      <c r="P83" s="504">
        <v>44265</v>
      </c>
      <c r="Q83" s="451">
        <f>IF(ISBLANK(CkReg16_1815171521[[#This Row],[Withdrawal]]),Q82+CkReg16_1815171521[[#This Row],[Deposit]],Q82-CkReg16_1815171521[[#This Row],[Withdrawal]])</f>
        <v>12565.069999999985</v>
      </c>
      <c r="R83" s="504">
        <v>1</v>
      </c>
    </row>
    <row r="84" spans="2:18" x14ac:dyDescent="0.3">
      <c r="B84" s="550"/>
      <c r="C84" s="551"/>
      <c r="D84" s="551"/>
      <c r="E84" s="551"/>
      <c r="F84" s="552"/>
      <c r="H84" s="286"/>
      <c r="I84" s="383">
        <v>44263</v>
      </c>
      <c r="J84" s="285"/>
      <c r="K84" s="285" t="s">
        <v>1004</v>
      </c>
      <c r="L84" s="285" t="s">
        <v>982</v>
      </c>
      <c r="M84" s="446"/>
      <c r="N84" s="496">
        <v>2</v>
      </c>
      <c r="O84" s="451">
        <f>IF(ISBLANK(CkReg16_1815171521[[#This Row],[Withdrawal]]),O83+CkReg16_1815171521[[#This Row],[Deposit]],O83-CkReg16_1815171521[[#This Row],[Withdrawal]])</f>
        <v>3852.0700000000033</v>
      </c>
      <c r="P84" s="504">
        <v>44265</v>
      </c>
      <c r="Q84" s="451">
        <f>IF(ISBLANK(CkReg16_1815171521[[#This Row],[Withdrawal]]),Q83+CkReg16_1815171521[[#This Row],[Deposit]],Q83-CkReg16_1815171521[[#This Row],[Withdrawal]])</f>
        <v>12567.069999999985</v>
      </c>
      <c r="R84" s="504">
        <v>1</v>
      </c>
    </row>
    <row r="85" spans="2:18" x14ac:dyDescent="0.3">
      <c r="B85" s="550"/>
      <c r="C85" s="551"/>
      <c r="D85" s="551"/>
      <c r="E85" s="551"/>
      <c r="F85" s="552"/>
      <c r="H85" s="286"/>
      <c r="I85" s="383">
        <v>44269</v>
      </c>
      <c r="J85" s="285"/>
      <c r="K85" s="285" t="s">
        <v>1005</v>
      </c>
      <c r="L85" s="285" t="s">
        <v>392</v>
      </c>
      <c r="M85" s="446"/>
      <c r="N85" s="497">
        <v>-0.45</v>
      </c>
      <c r="O85" s="451">
        <f>IF(ISBLANK(CkReg16_1815171521[[#This Row],[Withdrawal]]),O84+CkReg16_1815171521[[#This Row],[Deposit]],O84-CkReg16_1815171521[[#This Row],[Withdrawal]])</f>
        <v>3851.6200000000035</v>
      </c>
      <c r="P85" s="504">
        <v>44270</v>
      </c>
      <c r="Q85" s="451">
        <f>IF(ISBLANK(CkReg16_1815171521[[#This Row],[Withdrawal]]),Q84+CkReg16_1815171521[[#This Row],[Deposit]],Q84-CkReg16_1815171521[[#This Row],[Withdrawal]])</f>
        <v>12566.619999999984</v>
      </c>
      <c r="R85" s="504">
        <v>1</v>
      </c>
    </row>
    <row r="86" spans="2:18" x14ac:dyDescent="0.3">
      <c r="B86" s="553"/>
      <c r="C86" s="554"/>
      <c r="D86" s="554"/>
      <c r="E86" s="554"/>
      <c r="F86" s="555"/>
      <c r="H86" s="286"/>
      <c r="I86" s="383">
        <v>44269</v>
      </c>
      <c r="J86" s="285"/>
      <c r="K86" s="285" t="s">
        <v>1004</v>
      </c>
      <c r="L86" s="285" t="s">
        <v>392</v>
      </c>
      <c r="M86" s="446"/>
      <c r="N86" s="496">
        <v>5</v>
      </c>
      <c r="O86" s="451">
        <f>IF(ISBLANK(CkReg16_1815171521[[#This Row],[Withdrawal]]),O85+CkReg16_1815171521[[#This Row],[Deposit]],O85-CkReg16_1815171521[[#This Row],[Withdrawal]])</f>
        <v>3856.6200000000035</v>
      </c>
      <c r="P86" s="504">
        <v>44270</v>
      </c>
      <c r="Q86" s="451">
        <f>IF(ISBLANK(CkReg16_1815171521[[#This Row],[Withdrawal]]),Q85+CkReg16_1815171521[[#This Row],[Deposit]],Q85-CkReg16_1815171521[[#This Row],[Withdrawal]])</f>
        <v>12571.619999999984</v>
      </c>
      <c r="R86" s="504">
        <v>1</v>
      </c>
    </row>
    <row r="87" spans="2:18" x14ac:dyDescent="0.3">
      <c r="H87" s="286"/>
      <c r="I87" s="383">
        <v>44276</v>
      </c>
      <c r="J87" s="285"/>
      <c r="K87" s="285" t="s">
        <v>1005</v>
      </c>
      <c r="L87" s="285" t="s">
        <v>392</v>
      </c>
      <c r="M87" s="446"/>
      <c r="N87" s="497">
        <v>-0.45</v>
      </c>
      <c r="O87" s="451">
        <f>IF(ISBLANK(CkReg16_1815171521[[#This Row],[Withdrawal]]),O86+CkReg16_1815171521[[#This Row],[Deposit]],O86-CkReg16_1815171521[[#This Row],[Withdrawal]])</f>
        <v>3856.1700000000037</v>
      </c>
      <c r="P87" s="504">
        <v>44277</v>
      </c>
      <c r="Q87" s="451">
        <f>IF(ISBLANK(CkReg16_1815171521[[#This Row],[Withdrawal]]),Q86+CkReg16_1815171521[[#This Row],[Deposit]],Q86-CkReg16_1815171521[[#This Row],[Withdrawal]])</f>
        <v>12571.169999999984</v>
      </c>
      <c r="R87" s="504">
        <v>1</v>
      </c>
    </row>
    <row r="88" spans="2:18" x14ac:dyDescent="0.3">
      <c r="H88" s="286"/>
      <c r="I88" s="383">
        <v>44276</v>
      </c>
      <c r="J88" s="285"/>
      <c r="K88" s="285" t="s">
        <v>1004</v>
      </c>
      <c r="L88" s="285" t="s">
        <v>392</v>
      </c>
      <c r="M88" s="446"/>
      <c r="N88" s="496">
        <v>5</v>
      </c>
      <c r="O88" s="451">
        <f>IF(ISBLANK(CkReg16_1815171521[[#This Row],[Withdrawal]]),O87+CkReg16_1815171521[[#This Row],[Deposit]],O87-CkReg16_1815171521[[#This Row],[Withdrawal]])</f>
        <v>3861.1700000000037</v>
      </c>
      <c r="P88" s="504">
        <v>44277</v>
      </c>
      <c r="Q88" s="451">
        <f>IF(ISBLANK(CkReg16_1815171521[[#This Row],[Withdrawal]]),Q87+CkReg16_1815171521[[#This Row],[Deposit]],Q87-CkReg16_1815171521[[#This Row],[Withdrawal]])</f>
        <v>12576.169999999984</v>
      </c>
      <c r="R88" s="504">
        <v>1</v>
      </c>
    </row>
    <row r="89" spans="2:18" x14ac:dyDescent="0.3">
      <c r="H89" s="286"/>
      <c r="I89" s="383">
        <v>44281</v>
      </c>
      <c r="J89" s="285"/>
      <c r="K89" s="285" t="s">
        <v>1005</v>
      </c>
      <c r="L89" s="285" t="s">
        <v>397</v>
      </c>
      <c r="M89" s="446"/>
      <c r="N89" s="498">
        <v>-4.6500000000000004</v>
      </c>
      <c r="O89" s="451">
        <f>IF(ISBLANK(CkReg16_1815171521[[#This Row],[Withdrawal]]),O88+CkReg16_1815171521[[#This Row],[Deposit]],O88-CkReg16_1815171521[[#This Row],[Withdrawal]])</f>
        <v>3856.5200000000036</v>
      </c>
      <c r="P89" s="504">
        <v>44284</v>
      </c>
      <c r="Q89" s="451">
        <f>IF(ISBLANK(CkReg16_1815171521[[#This Row],[Withdrawal]]),Q88+CkReg16_1815171521[[#This Row],[Deposit]],Q88-CkReg16_1815171521[[#This Row],[Withdrawal]])</f>
        <v>12571.519999999984</v>
      </c>
      <c r="R89" s="504">
        <v>1</v>
      </c>
    </row>
    <row r="90" spans="2:18" x14ac:dyDescent="0.3">
      <c r="H90" s="286"/>
      <c r="I90" s="383">
        <v>44281</v>
      </c>
      <c r="J90" s="285"/>
      <c r="K90" s="285" t="s">
        <v>1004</v>
      </c>
      <c r="L90" s="285" t="s">
        <v>397</v>
      </c>
      <c r="M90" s="446"/>
      <c r="N90" s="496">
        <v>150</v>
      </c>
      <c r="O90" s="451">
        <f>IF(ISBLANK(CkReg16_1815171521[[#This Row],[Withdrawal]]),O89+CkReg16_1815171521[[#This Row],[Deposit]],O89-CkReg16_1815171521[[#This Row],[Withdrawal]])</f>
        <v>4006.5200000000036</v>
      </c>
      <c r="P90" s="504">
        <v>44284</v>
      </c>
      <c r="Q90" s="451">
        <f>IF(ISBLANK(CkReg16_1815171521[[#This Row],[Withdrawal]]),Q89+CkReg16_1815171521[[#This Row],[Deposit]],Q89-CkReg16_1815171521[[#This Row],[Withdrawal]])</f>
        <v>12721.519999999984</v>
      </c>
      <c r="R90" s="504">
        <v>1</v>
      </c>
    </row>
    <row r="91" spans="2:18" x14ac:dyDescent="0.3">
      <c r="H91" s="286"/>
      <c r="I91" s="383">
        <v>44283</v>
      </c>
      <c r="J91" s="285"/>
      <c r="K91" s="285" t="s">
        <v>1005</v>
      </c>
      <c r="L91" s="285" t="s">
        <v>392</v>
      </c>
      <c r="M91" s="446"/>
      <c r="N91" s="498">
        <v>-0.59</v>
      </c>
      <c r="O91" s="451">
        <f>IF(ISBLANK(CkReg16_1815171521[[#This Row],[Withdrawal]]),O90+CkReg16_1815171521[[#This Row],[Deposit]],O90-CkReg16_1815171521[[#This Row],[Withdrawal]])</f>
        <v>4005.9300000000035</v>
      </c>
      <c r="P91" s="504">
        <v>44284</v>
      </c>
      <c r="Q91" s="451">
        <f>IF(ISBLANK(CkReg16_1815171521[[#This Row],[Withdrawal]]),Q90+CkReg16_1815171521[[#This Row],[Deposit]],Q90-CkReg16_1815171521[[#This Row],[Withdrawal]])</f>
        <v>12720.929999999984</v>
      </c>
      <c r="R91" s="504">
        <v>1</v>
      </c>
    </row>
    <row r="92" spans="2:18" x14ac:dyDescent="0.3">
      <c r="H92" s="286"/>
      <c r="I92" s="383">
        <v>44283</v>
      </c>
      <c r="J92" s="285"/>
      <c r="K92" s="285" t="s">
        <v>1005</v>
      </c>
      <c r="L92" s="285" t="s">
        <v>392</v>
      </c>
      <c r="M92" s="446"/>
      <c r="N92" s="497">
        <v>-0.45</v>
      </c>
      <c r="O92" s="451">
        <f>IF(ISBLANK(CkReg16_1815171521[[#This Row],[Withdrawal]]),O91+CkReg16_1815171521[[#This Row],[Deposit]],O91-CkReg16_1815171521[[#This Row],[Withdrawal]])</f>
        <v>4005.4800000000037</v>
      </c>
      <c r="P92" s="504">
        <v>44284</v>
      </c>
      <c r="Q92" s="451">
        <f>IF(ISBLANK(CkReg16_1815171521[[#This Row],[Withdrawal]]),Q91+CkReg16_1815171521[[#This Row],[Deposit]],Q91-CkReg16_1815171521[[#This Row],[Withdrawal]])</f>
        <v>12720.479999999983</v>
      </c>
      <c r="R92" s="504">
        <v>1</v>
      </c>
    </row>
    <row r="93" spans="2:18" x14ac:dyDescent="0.3">
      <c r="H93" s="286"/>
      <c r="I93" s="383">
        <v>44283</v>
      </c>
      <c r="J93" s="285"/>
      <c r="K93" s="285" t="s">
        <v>1005</v>
      </c>
      <c r="L93" s="285" t="s">
        <v>392</v>
      </c>
      <c r="M93" s="446"/>
      <c r="N93" s="497">
        <v>-0.45</v>
      </c>
      <c r="O93" s="451">
        <f>IF(ISBLANK(CkReg16_1815171521[[#This Row],[Withdrawal]]),O92+CkReg16_1815171521[[#This Row],[Deposit]],O92-CkReg16_1815171521[[#This Row],[Withdrawal]])</f>
        <v>4005.0300000000038</v>
      </c>
      <c r="P93" s="504">
        <v>44284</v>
      </c>
      <c r="Q93" s="451">
        <f>IF(ISBLANK(CkReg16_1815171521[[#This Row],[Withdrawal]]),Q92+CkReg16_1815171521[[#This Row],[Deposit]],Q92-CkReg16_1815171521[[#This Row],[Withdrawal]])</f>
        <v>12720.029999999982</v>
      </c>
      <c r="R93" s="376">
        <v>1</v>
      </c>
    </row>
    <row r="94" spans="2:18" x14ac:dyDescent="0.3">
      <c r="H94" s="505"/>
      <c r="I94" s="383">
        <v>44283</v>
      </c>
      <c r="J94" s="285"/>
      <c r="K94" s="285" t="s">
        <v>1005</v>
      </c>
      <c r="L94" s="285" t="s">
        <v>392</v>
      </c>
      <c r="M94" s="446"/>
      <c r="N94" s="508">
        <v>-0.45</v>
      </c>
      <c r="O94" s="451">
        <f>IF(ISBLANK(CkReg16_1815171521[[#This Row],[Withdrawal]]),O93+CkReg16_1815171521[[#This Row],[Deposit]],O93-CkReg16_1815171521[[#This Row],[Withdrawal]])</f>
        <v>4004.580000000004</v>
      </c>
      <c r="P94" s="504">
        <v>44284</v>
      </c>
      <c r="Q94" s="451">
        <f>IF(ISBLANK(CkReg16_1815171521[[#This Row],[Withdrawal]]),Q93+CkReg16_1815171521[[#This Row],[Deposit]],Q93-CkReg16_1815171521[[#This Row],[Withdrawal]])</f>
        <v>12719.579999999982</v>
      </c>
      <c r="R94" s="376">
        <v>1</v>
      </c>
    </row>
    <row r="95" spans="2:18" x14ac:dyDescent="0.3">
      <c r="H95" s="286"/>
      <c r="I95" s="383">
        <v>44283</v>
      </c>
      <c r="J95" s="285"/>
      <c r="K95" s="285" t="s">
        <v>1004</v>
      </c>
      <c r="L95" s="285" t="s">
        <v>392</v>
      </c>
      <c r="M95" s="446"/>
      <c r="N95" s="496">
        <v>5</v>
      </c>
      <c r="O95" s="451">
        <f>IF(ISBLANK(CkReg16_1815171521[[#This Row],[Withdrawal]]),O94+CkReg16_1815171521[[#This Row],[Deposit]],O94-CkReg16_1815171521[[#This Row],[Withdrawal]])</f>
        <v>4009.580000000004</v>
      </c>
      <c r="P95" s="504">
        <v>44284</v>
      </c>
      <c r="Q95" s="451">
        <f>IF(ISBLANK(CkReg16_1815171521[[#This Row],[Withdrawal]]),Q94+CkReg16_1815171521[[#This Row],[Deposit]],Q94-CkReg16_1815171521[[#This Row],[Withdrawal]])</f>
        <v>12724.579999999982</v>
      </c>
      <c r="R95" s="376">
        <v>1</v>
      </c>
    </row>
    <row r="96" spans="2:18" x14ac:dyDescent="0.3">
      <c r="H96" s="286"/>
      <c r="I96" s="383">
        <v>44283</v>
      </c>
      <c r="J96" s="285"/>
      <c r="K96" s="285" t="s">
        <v>1004</v>
      </c>
      <c r="L96" s="285" t="s">
        <v>392</v>
      </c>
      <c r="M96" s="446"/>
      <c r="N96" s="496">
        <v>5</v>
      </c>
      <c r="O96" s="451">
        <f>IF(ISBLANK(CkReg16_1815171521[[#This Row],[Withdrawal]]),O95+CkReg16_1815171521[[#This Row],[Deposit]],O95-CkReg16_1815171521[[#This Row],[Withdrawal]])</f>
        <v>4014.580000000004</v>
      </c>
      <c r="P96" s="504">
        <v>44284</v>
      </c>
      <c r="Q96" s="451">
        <f>IF(ISBLANK(CkReg16_1815171521[[#This Row],[Withdrawal]]),Q95+CkReg16_1815171521[[#This Row],[Deposit]],Q95-CkReg16_1815171521[[#This Row],[Withdrawal]])</f>
        <v>12729.579999999982</v>
      </c>
      <c r="R96" s="376">
        <v>1</v>
      </c>
    </row>
    <row r="97" spans="4:18" x14ac:dyDescent="0.3">
      <c r="H97" s="505"/>
      <c r="I97" s="383">
        <v>44283</v>
      </c>
      <c r="J97" s="285"/>
      <c r="K97" s="285" t="s">
        <v>1004</v>
      </c>
      <c r="L97" s="285" t="s">
        <v>392</v>
      </c>
      <c r="M97" s="446"/>
      <c r="N97" s="506">
        <v>5</v>
      </c>
      <c r="O97" s="451">
        <f>IF(ISBLANK(CkReg16_1815171521[[#This Row],[Withdrawal]]),O96+CkReg16_1815171521[[#This Row],[Deposit]],O96-CkReg16_1815171521[[#This Row],[Withdrawal]])</f>
        <v>4019.580000000004</v>
      </c>
      <c r="P97" s="504">
        <v>44284</v>
      </c>
      <c r="Q97" s="451">
        <f>IF(ISBLANK(CkReg16_1815171521[[#This Row],[Withdrawal]]),Q96+CkReg16_1815171521[[#This Row],[Deposit]],Q96-CkReg16_1815171521[[#This Row],[Withdrawal]])</f>
        <v>12734.579999999982</v>
      </c>
      <c r="R97" s="504">
        <v>1</v>
      </c>
    </row>
    <row r="98" spans="4:18" x14ac:dyDescent="0.3">
      <c r="H98" s="286"/>
      <c r="I98" s="383">
        <v>44283</v>
      </c>
      <c r="J98" s="285"/>
      <c r="K98" s="285" t="s">
        <v>1004</v>
      </c>
      <c r="L98" s="285" t="s">
        <v>392</v>
      </c>
      <c r="M98" s="446"/>
      <c r="N98" s="496">
        <v>10</v>
      </c>
      <c r="O98" s="451">
        <f>IF(ISBLANK(CkReg16_1815171521[[#This Row],[Withdrawal]]),O97+CkReg16_1815171521[[#This Row],[Deposit]],O97-CkReg16_1815171521[[#This Row],[Withdrawal]])</f>
        <v>4029.580000000004</v>
      </c>
      <c r="P98" s="504">
        <v>44284</v>
      </c>
      <c r="Q98" s="451">
        <f>IF(ISBLANK(CkReg16_1815171521[[#This Row],[Withdrawal]]),Q97+CkReg16_1815171521[[#This Row],[Deposit]],Q97-CkReg16_1815171521[[#This Row],[Withdrawal]])</f>
        <v>12744.579999999982</v>
      </c>
      <c r="R98" s="504">
        <v>1</v>
      </c>
    </row>
    <row r="99" spans="4:18" x14ac:dyDescent="0.3">
      <c r="H99" s="286"/>
      <c r="I99" s="383">
        <v>44286</v>
      </c>
      <c r="J99" s="285"/>
      <c r="K99" s="285" t="s">
        <v>984</v>
      </c>
      <c r="L99" s="285" t="s">
        <v>219</v>
      </c>
      <c r="M99" s="446"/>
      <c r="N99" s="496">
        <v>16.309999999999999</v>
      </c>
      <c r="O99" s="451">
        <f>IF(ISBLANK(CkReg16_1815171521[[#This Row],[Withdrawal]]),O98+CkReg16_1815171521[[#This Row],[Deposit]],O98-CkReg16_1815171521[[#This Row],[Withdrawal]])</f>
        <v>4045.890000000004</v>
      </c>
      <c r="P99" s="504">
        <v>44286</v>
      </c>
      <c r="Q99" s="451">
        <f>IF(ISBLANK(CkReg16_1815171521[[#This Row],[Withdrawal]]),Q98+CkReg16_1815171521[[#This Row],[Deposit]],Q98-CkReg16_1815171521[[#This Row],[Withdrawal]])</f>
        <v>12760.889999999981</v>
      </c>
      <c r="R99" s="504">
        <v>1</v>
      </c>
    </row>
    <row r="100" spans="4:18" x14ac:dyDescent="0.3">
      <c r="H100" s="286"/>
      <c r="I100" s="383">
        <v>44286</v>
      </c>
      <c r="J100" s="285"/>
      <c r="K100" s="285" t="s">
        <v>989</v>
      </c>
      <c r="L100" s="285" t="s">
        <v>946</v>
      </c>
      <c r="M100" s="446">
        <v>16.309999999999999</v>
      </c>
      <c r="N100" s="496"/>
      <c r="O100" s="451">
        <f>IF(ISBLANK(CkReg16_1815171521[[#This Row],[Withdrawal]]),O99+CkReg16_1815171521[[#This Row],[Deposit]],O99-CkReg16_1815171521[[#This Row],[Withdrawal]])</f>
        <v>4029.580000000004</v>
      </c>
      <c r="P100" s="504">
        <v>44286</v>
      </c>
      <c r="Q100" s="451">
        <f>IF(ISBLANK(CkReg16_1815171521[[#This Row],[Withdrawal]]),Q99+CkReg16_1815171521[[#This Row],[Deposit]],Q99-CkReg16_1815171521[[#This Row],[Withdrawal]])</f>
        <v>12744.579999999982</v>
      </c>
      <c r="R100" s="504">
        <v>1</v>
      </c>
    </row>
    <row r="101" spans="4:18" x14ac:dyDescent="0.3">
      <c r="H101" s="286"/>
      <c r="I101" s="383">
        <v>44286</v>
      </c>
      <c r="J101" s="285"/>
      <c r="K101" s="285" t="s">
        <v>1009</v>
      </c>
      <c r="L101" s="285" t="s">
        <v>91</v>
      </c>
      <c r="M101" s="446"/>
      <c r="N101" s="496">
        <v>0.11</v>
      </c>
      <c r="O101" s="451">
        <f>IF(ISBLANK(CkReg16_1815171521[[#This Row],[Withdrawal]]),O100+CkReg16_1815171521[[#This Row],[Deposit]],O100-CkReg16_1815171521[[#This Row],[Withdrawal]])</f>
        <v>4029.6900000000041</v>
      </c>
      <c r="P101" s="504">
        <v>44286</v>
      </c>
      <c r="Q101" s="451">
        <f>IF(ISBLANK(CkReg16_1815171521[[#This Row],[Withdrawal]]),Q100+CkReg16_1815171521[[#This Row],[Deposit]],Q100-CkReg16_1815171521[[#This Row],[Withdrawal]])</f>
        <v>12744.689999999982</v>
      </c>
      <c r="R101" s="504">
        <v>44286</v>
      </c>
    </row>
    <row r="102" spans="4:18" x14ac:dyDescent="0.3">
      <c r="H102" s="286"/>
      <c r="I102" s="383">
        <v>44288</v>
      </c>
      <c r="J102" s="285"/>
      <c r="K102" s="285" t="s">
        <v>1005</v>
      </c>
      <c r="L102" s="285" t="s">
        <v>397</v>
      </c>
      <c r="M102" s="446"/>
      <c r="N102" s="496">
        <v>-0.45</v>
      </c>
      <c r="O102" s="451">
        <f>IF(ISBLANK(CkReg16_1815171521[[#This Row],[Withdrawal]]),O101+CkReg16_1815171521[[#This Row],[Deposit]],O101-CkReg16_1815171521[[#This Row],[Withdrawal]])</f>
        <v>4029.2400000000043</v>
      </c>
      <c r="P102" s="504">
        <v>44291</v>
      </c>
      <c r="Q102" s="451">
        <f>IF(ISBLANK(CkReg16_1815171521[[#This Row],[Withdrawal]]),Q101+CkReg16_1815171521[[#This Row],[Deposit]],Q101-CkReg16_1815171521[[#This Row],[Withdrawal]])</f>
        <v>12744.239999999982</v>
      </c>
      <c r="R102" s="504">
        <v>1</v>
      </c>
    </row>
    <row r="103" spans="4:18" x14ac:dyDescent="0.3">
      <c r="H103" s="286"/>
      <c r="I103" s="383">
        <v>44288</v>
      </c>
      <c r="J103" s="285"/>
      <c r="K103" s="285" t="s">
        <v>1004</v>
      </c>
      <c r="L103" s="285" t="s">
        <v>397</v>
      </c>
      <c r="M103" s="446"/>
      <c r="N103" s="496">
        <v>5</v>
      </c>
      <c r="O103" s="451">
        <f>IF(ISBLANK(CkReg16_1815171521[[#This Row],[Withdrawal]]),O102+CkReg16_1815171521[[#This Row],[Deposit]],O102-CkReg16_1815171521[[#This Row],[Withdrawal]])</f>
        <v>4034.2400000000043</v>
      </c>
      <c r="P103" s="504">
        <v>44291</v>
      </c>
      <c r="Q103" s="451">
        <f>IF(ISBLANK(CkReg16_1815171521[[#This Row],[Withdrawal]]),Q102+CkReg16_1815171521[[#This Row],[Deposit]],Q102-CkReg16_1815171521[[#This Row],[Withdrawal]])</f>
        <v>12749.239999999982</v>
      </c>
      <c r="R103" s="504">
        <v>1</v>
      </c>
    </row>
    <row r="104" spans="4:18" x14ac:dyDescent="0.3">
      <c r="F104" s="96" t="s">
        <v>1020</v>
      </c>
      <c r="H104" s="286"/>
      <c r="I104" s="383">
        <v>44289</v>
      </c>
      <c r="J104" s="285"/>
      <c r="K104" s="285" t="s">
        <v>1004</v>
      </c>
      <c r="L104" s="285" t="s">
        <v>219</v>
      </c>
      <c r="M104" s="446"/>
      <c r="N104" s="496">
        <v>-2.48</v>
      </c>
      <c r="O104" s="451">
        <f>IF(ISBLANK(CkReg16_1815171521[[#This Row],[Withdrawal]]),O103+CkReg16_1815171521[[#This Row],[Deposit]],O103-CkReg16_1815171521[[#This Row],[Withdrawal]])</f>
        <v>4031.7600000000043</v>
      </c>
      <c r="P104" s="504">
        <v>44291</v>
      </c>
      <c r="Q104" s="451">
        <f>IF(ISBLANK(CkReg16_1815171521[[#This Row],[Withdrawal]]),Q103+CkReg16_1815171521[[#This Row],[Deposit]],Q103-CkReg16_1815171521[[#This Row],[Withdrawal]])</f>
        <v>12746.759999999982</v>
      </c>
      <c r="R104" s="504">
        <v>1</v>
      </c>
    </row>
    <row r="105" spans="4:18" x14ac:dyDescent="0.3">
      <c r="H105" s="286"/>
      <c r="I105" s="383">
        <v>44289</v>
      </c>
      <c r="J105" s="285"/>
      <c r="K105" s="285" t="s">
        <v>1004</v>
      </c>
      <c r="L105" s="285" t="s">
        <v>219</v>
      </c>
      <c r="M105" s="446"/>
      <c r="N105" s="496">
        <v>-0.88</v>
      </c>
      <c r="O105" s="451">
        <f>IF(ISBLANK(CkReg16_1815171521[[#This Row],[Withdrawal]]),O104+CkReg16_1815171521[[#This Row],[Deposit]],O104-CkReg16_1815171521[[#This Row],[Withdrawal]])</f>
        <v>4030.8800000000042</v>
      </c>
      <c r="P105" s="504">
        <v>44291</v>
      </c>
      <c r="Q105" s="451">
        <f>IF(ISBLANK(CkReg16_1815171521[[#This Row],[Withdrawal]]),Q104+CkReg16_1815171521[[#This Row],[Deposit]],Q104-CkReg16_1815171521[[#This Row],[Withdrawal]])</f>
        <v>12745.879999999983</v>
      </c>
      <c r="R105" s="504">
        <v>1</v>
      </c>
    </row>
    <row r="106" spans="4:18" x14ac:dyDescent="0.3">
      <c r="H106" s="286"/>
      <c r="I106" s="383">
        <v>44289</v>
      </c>
      <c r="J106" s="285"/>
      <c r="K106" s="285" t="s">
        <v>984</v>
      </c>
      <c r="L106" s="285" t="s">
        <v>219</v>
      </c>
      <c r="M106" s="446"/>
      <c r="N106" s="496">
        <v>20</v>
      </c>
      <c r="O106" s="451">
        <f>IF(ISBLANK(CkReg16_1815171521[[#This Row],[Withdrawal]]),O105+CkReg16_1815171521[[#This Row],[Deposit]],O105-CkReg16_1815171521[[#This Row],[Withdrawal]])</f>
        <v>4050.8800000000042</v>
      </c>
      <c r="P106" s="504">
        <v>44291</v>
      </c>
      <c r="Q106" s="451">
        <f>IF(ISBLANK(CkReg16_1815171521[[#This Row],[Withdrawal]]),Q105+CkReg16_1815171521[[#This Row],[Deposit]],Q105-CkReg16_1815171521[[#This Row],[Withdrawal]])</f>
        <v>12765.879999999983</v>
      </c>
      <c r="R106" s="504">
        <v>1</v>
      </c>
    </row>
    <row r="107" spans="4:18" x14ac:dyDescent="0.3">
      <c r="D107" s="99"/>
      <c r="H107" s="286"/>
      <c r="I107" s="383">
        <v>44289</v>
      </c>
      <c r="J107" s="285"/>
      <c r="K107" s="285" t="s">
        <v>984</v>
      </c>
      <c r="L107" s="285" t="s">
        <v>219</v>
      </c>
      <c r="M107" s="446"/>
      <c r="N107" s="496">
        <v>75</v>
      </c>
      <c r="O107" s="451">
        <f>IF(ISBLANK(CkReg16_1815171521[[#This Row],[Withdrawal]]),O106+CkReg16_1815171521[[#This Row],[Deposit]],O106-CkReg16_1815171521[[#This Row],[Withdrawal]])</f>
        <v>4125.8800000000047</v>
      </c>
      <c r="P107" s="504">
        <v>44291</v>
      </c>
      <c r="Q107" s="451">
        <f>IF(ISBLANK(CkReg16_1815171521[[#This Row],[Withdrawal]]),Q106+CkReg16_1815171521[[#This Row],[Deposit]],Q106-CkReg16_1815171521[[#This Row],[Withdrawal]])</f>
        <v>12840.879999999983</v>
      </c>
      <c r="R107" s="504">
        <v>1</v>
      </c>
    </row>
    <row r="108" spans="4:18" x14ac:dyDescent="0.3">
      <c r="D108" s="99"/>
      <c r="H108" s="286">
        <v>3434</v>
      </c>
      <c r="I108" s="383">
        <v>44289</v>
      </c>
      <c r="J108" s="285" t="s">
        <v>122</v>
      </c>
      <c r="K108" s="285" t="s">
        <v>1010</v>
      </c>
      <c r="L108" s="285" t="s">
        <v>45</v>
      </c>
      <c r="M108" s="446">
        <v>134</v>
      </c>
      <c r="N108" s="496"/>
      <c r="O108" s="451">
        <f>IF(ISBLANK(CkReg16_1815171521[[#This Row],[Withdrawal]]),O107+CkReg16_1815171521[[#This Row],[Deposit]],O107-CkReg16_1815171521[[#This Row],[Withdrawal]])</f>
        <v>3991.8800000000047</v>
      </c>
      <c r="P108" s="504">
        <v>44301</v>
      </c>
      <c r="Q108" s="451">
        <f>IF(ISBLANK(CkReg16_1815171521[[#This Row],[Withdrawal]]),Q107+CkReg16_1815171521[[#This Row],[Deposit]],Q107-CkReg16_1815171521[[#This Row],[Withdrawal]])</f>
        <v>12706.879999999983</v>
      </c>
      <c r="R108" s="376">
        <v>1</v>
      </c>
    </row>
    <row r="109" spans="4:18" x14ac:dyDescent="0.3">
      <c r="D109" s="99"/>
      <c r="H109" s="286"/>
      <c r="I109" s="383">
        <v>44290</v>
      </c>
      <c r="J109" s="285"/>
      <c r="K109" s="285" t="s">
        <v>1005</v>
      </c>
      <c r="L109" s="285" t="s">
        <v>392</v>
      </c>
      <c r="M109" s="446"/>
      <c r="N109" s="496">
        <v>-0.45</v>
      </c>
      <c r="O109" s="451">
        <f>IF(ISBLANK(CkReg16_1815171521[[#This Row],[Withdrawal]]),O108+CkReg16_1815171521[[#This Row],[Deposit]],O108-CkReg16_1815171521[[#This Row],[Withdrawal]])</f>
        <v>3991.4300000000048</v>
      </c>
      <c r="P109" s="504">
        <v>44291</v>
      </c>
      <c r="Q109" s="451">
        <f>IF(ISBLANK(CkReg16_1815171521[[#This Row],[Withdrawal]]),Q108+CkReg16_1815171521[[#This Row],[Deposit]],Q108-CkReg16_1815171521[[#This Row],[Withdrawal]])</f>
        <v>12706.429999999982</v>
      </c>
      <c r="R109" s="376">
        <v>1</v>
      </c>
    </row>
    <row r="110" spans="4:18" x14ac:dyDescent="0.3">
      <c r="D110" s="99"/>
      <c r="H110" s="286"/>
      <c r="I110" s="383">
        <v>44290</v>
      </c>
      <c r="J110" s="285"/>
      <c r="K110" s="285" t="s">
        <v>1004</v>
      </c>
      <c r="L110" s="285" t="s">
        <v>392</v>
      </c>
      <c r="M110" s="446"/>
      <c r="N110" s="496">
        <v>5</v>
      </c>
      <c r="O110" s="451">
        <f>IF(ISBLANK(CkReg16_1815171521[[#This Row],[Withdrawal]]),O109+CkReg16_1815171521[[#This Row],[Deposit]],O109-CkReg16_1815171521[[#This Row],[Withdrawal]])</f>
        <v>3996.4300000000048</v>
      </c>
      <c r="P110" s="504">
        <v>44291</v>
      </c>
      <c r="Q110" s="451">
        <f>IF(ISBLANK(CkReg16_1815171521[[#This Row],[Withdrawal]]),Q109+CkReg16_1815171521[[#This Row],[Deposit]],Q109-CkReg16_1815171521[[#This Row],[Withdrawal]])</f>
        <v>12711.429999999982</v>
      </c>
      <c r="R110" s="376">
        <v>1</v>
      </c>
    </row>
    <row r="111" spans="4:18" x14ac:dyDescent="0.3">
      <c r="H111" s="285"/>
      <c r="I111" s="383">
        <v>44291</v>
      </c>
      <c r="J111" s="285"/>
      <c r="K111" s="285" t="s">
        <v>1005</v>
      </c>
      <c r="L111" s="285" t="s">
        <v>982</v>
      </c>
      <c r="M111" s="446"/>
      <c r="N111" s="496">
        <v>-0.45</v>
      </c>
      <c r="O111" s="451">
        <f>IF(ISBLANK(CkReg16_1815171521[[#This Row],[Withdrawal]]),O110+CkReg16_1815171521[[#This Row],[Deposit]],O110-CkReg16_1815171521[[#This Row],[Withdrawal]])</f>
        <v>3995.980000000005</v>
      </c>
      <c r="P111" s="504">
        <v>44293</v>
      </c>
      <c r="Q111" s="451">
        <f>IF(ISBLANK(CkReg16_1815171521[[#This Row],[Withdrawal]]),Q110+CkReg16_1815171521[[#This Row],[Deposit]],Q110-CkReg16_1815171521[[#This Row],[Withdrawal]])</f>
        <v>12710.979999999981</v>
      </c>
      <c r="R111" s="376">
        <v>1</v>
      </c>
    </row>
    <row r="112" spans="4:18" x14ac:dyDescent="0.3">
      <c r="H112" s="505"/>
      <c r="I112" s="383">
        <v>44291</v>
      </c>
      <c r="J112" s="285"/>
      <c r="K112" s="285" t="s">
        <v>1004</v>
      </c>
      <c r="L112" s="285" t="s">
        <v>982</v>
      </c>
      <c r="M112" s="446"/>
      <c r="N112" s="496">
        <v>5</v>
      </c>
      <c r="O112" s="451">
        <f>IF(ISBLANK(CkReg16_1815171521[[#This Row],[Withdrawal]]),O111+CkReg16_1815171521[[#This Row],[Deposit]],O111-CkReg16_1815171521[[#This Row],[Withdrawal]])</f>
        <v>4000.980000000005</v>
      </c>
      <c r="P112" s="504">
        <v>44293</v>
      </c>
      <c r="Q112" s="451">
        <f>IF(ISBLANK(CkReg16_1815171521[[#This Row],[Withdrawal]]),Q111+CkReg16_1815171521[[#This Row],[Deposit]],Q111-CkReg16_1815171521[[#This Row],[Withdrawal]])</f>
        <v>12715.979999999981</v>
      </c>
      <c r="R112" s="504">
        <v>1</v>
      </c>
    </row>
    <row r="113" spans="1:18" x14ac:dyDescent="0.3">
      <c r="H113" s="505">
        <v>3435</v>
      </c>
      <c r="I113" s="383">
        <v>44291</v>
      </c>
      <c r="J113" s="285" t="s">
        <v>92</v>
      </c>
      <c r="K113" s="285" t="s">
        <v>1011</v>
      </c>
      <c r="L113" s="285" t="s">
        <v>43</v>
      </c>
      <c r="M113" s="446">
        <v>100</v>
      </c>
      <c r="N113" s="496"/>
      <c r="O113" s="451">
        <f>IF(ISBLANK(CkReg16_1815171521[[#This Row],[Withdrawal]]),O112+CkReg16_1815171521[[#This Row],[Deposit]],O112-CkReg16_1815171521[[#This Row],[Withdrawal]])</f>
        <v>3900.980000000005</v>
      </c>
      <c r="P113" s="504">
        <v>44300</v>
      </c>
      <c r="Q113" s="451">
        <f>IF(ISBLANK(CkReg16_1815171521[[#This Row],[Withdrawal]]),Q112+CkReg16_1815171521[[#This Row],[Deposit]],Q112-CkReg16_1815171521[[#This Row],[Withdrawal]])</f>
        <v>12615.979999999981</v>
      </c>
      <c r="R113" s="504">
        <v>1</v>
      </c>
    </row>
    <row r="114" spans="1:18" x14ac:dyDescent="0.3">
      <c r="H114" s="286"/>
      <c r="I114" s="383">
        <v>44292</v>
      </c>
      <c r="J114" s="285" t="s">
        <v>397</v>
      </c>
      <c r="K114" s="285" t="s">
        <v>988</v>
      </c>
      <c r="L114" s="285" t="s">
        <v>397</v>
      </c>
      <c r="M114" s="446"/>
      <c r="N114" s="496">
        <v>-149.9</v>
      </c>
      <c r="O114" s="451">
        <f>IF(ISBLANK(CkReg16_1815171521[[#This Row],[Withdrawal]]),O113+CkReg16_1815171521[[#This Row],[Deposit]],O113-CkReg16_1815171521[[#This Row],[Withdrawal]])</f>
        <v>3751.0800000000049</v>
      </c>
      <c r="P114" s="504">
        <v>44292</v>
      </c>
      <c r="Q114" s="451">
        <f>IF(ISBLANK(CkReg16_1815171521[[#This Row],[Withdrawal]]),Q113+CkReg16_1815171521[[#This Row],[Deposit]],Q113-CkReg16_1815171521[[#This Row],[Withdrawal]])</f>
        <v>12466.079999999982</v>
      </c>
      <c r="R114" s="504">
        <v>1</v>
      </c>
    </row>
    <row r="115" spans="1:18" x14ac:dyDescent="0.3">
      <c r="H115" s="286"/>
      <c r="I115" s="383">
        <v>44292</v>
      </c>
      <c r="J115" s="285" t="s">
        <v>395</v>
      </c>
      <c r="K115" s="285" t="s">
        <v>988</v>
      </c>
      <c r="L115" s="285" t="s">
        <v>395</v>
      </c>
      <c r="M115" s="446"/>
      <c r="N115" s="496">
        <v>-4.55</v>
      </c>
      <c r="O115" s="451">
        <f>IF(ISBLANK(CkReg16_1815171521[[#This Row],[Withdrawal]]),O114+CkReg16_1815171521[[#This Row],[Deposit]],O114-CkReg16_1815171521[[#This Row],[Withdrawal]])</f>
        <v>3746.5300000000047</v>
      </c>
      <c r="P115" s="504">
        <v>44292</v>
      </c>
      <c r="Q115" s="451">
        <f>IF(ISBLANK(CkReg16_1815171521[[#This Row],[Withdrawal]]),Q114+CkReg16_1815171521[[#This Row],[Deposit]],Q114-CkReg16_1815171521[[#This Row],[Withdrawal]])</f>
        <v>12461.529999999982</v>
      </c>
      <c r="R115" s="504">
        <v>1</v>
      </c>
    </row>
    <row r="116" spans="1:18" x14ac:dyDescent="0.3">
      <c r="H116" s="286"/>
      <c r="I116" s="383">
        <v>44292</v>
      </c>
      <c r="J116" s="285" t="s">
        <v>395</v>
      </c>
      <c r="K116" s="285" t="s">
        <v>988</v>
      </c>
      <c r="L116" s="285" t="s">
        <v>219</v>
      </c>
      <c r="M116" s="446"/>
      <c r="N116" s="496">
        <v>4.55</v>
      </c>
      <c r="O116" s="451">
        <f>IF(ISBLANK(CkReg16_1815171521[[#This Row],[Withdrawal]]),O115+CkReg16_1815171521[[#This Row],[Deposit]],O115-CkReg16_1815171521[[#This Row],[Withdrawal]])</f>
        <v>3751.0800000000049</v>
      </c>
      <c r="P116" s="504">
        <v>44292</v>
      </c>
      <c r="Q116" s="451">
        <f>IF(ISBLANK(CkReg16_1815171521[[#This Row],[Withdrawal]]),Q115+CkReg16_1815171521[[#This Row],[Deposit]],Q115-CkReg16_1815171521[[#This Row],[Withdrawal]])</f>
        <v>12466.079999999982</v>
      </c>
      <c r="R116" s="504">
        <v>1</v>
      </c>
    </row>
    <row r="117" spans="1:18" s="430" customFormat="1" x14ac:dyDescent="0.3">
      <c r="A117" s="96"/>
      <c r="B117" s="96"/>
      <c r="C117" s="96"/>
      <c r="D117" s="96"/>
      <c r="E117" s="96"/>
      <c r="F117" s="96"/>
      <c r="G117" s="96"/>
      <c r="H117" s="286"/>
      <c r="I117" s="383">
        <v>44292</v>
      </c>
      <c r="J117" s="285" t="s">
        <v>397</v>
      </c>
      <c r="K117" s="285" t="s">
        <v>988</v>
      </c>
      <c r="L117" s="285" t="s">
        <v>219</v>
      </c>
      <c r="M117" s="446"/>
      <c r="N117" s="496">
        <v>149.9</v>
      </c>
      <c r="O117" s="451">
        <f>IF(ISBLANK(CkReg16_1815171521[[#This Row],[Withdrawal]]),O116+CkReg16_1815171521[[#This Row],[Deposit]],O116-CkReg16_1815171521[[#This Row],[Withdrawal]])</f>
        <v>3900.980000000005</v>
      </c>
      <c r="P117" s="504">
        <v>44292</v>
      </c>
      <c r="Q117" s="451">
        <f>IF(ISBLANK(CkReg16_1815171521[[#This Row],[Withdrawal]]),Q116+CkReg16_1815171521[[#This Row],[Deposit]],Q116-CkReg16_1815171521[[#This Row],[Withdrawal]])</f>
        <v>12615.979999999981</v>
      </c>
      <c r="R117" s="504">
        <v>1</v>
      </c>
    </row>
    <row r="118" spans="1:18" x14ac:dyDescent="0.3">
      <c r="A118" s="430"/>
      <c r="H118" s="286"/>
      <c r="I118" s="383">
        <v>44297</v>
      </c>
      <c r="J118" s="285"/>
      <c r="K118" s="285" t="s">
        <v>1005</v>
      </c>
      <c r="L118" s="285" t="s">
        <v>392</v>
      </c>
      <c r="M118" s="446"/>
      <c r="N118" s="496">
        <v>-0.59</v>
      </c>
      <c r="O118" s="451">
        <f>IF(ISBLANK(CkReg16_1815171521[[#This Row],[Withdrawal]]),O117+CkReg16_1815171521[[#This Row],[Deposit]],O117-CkReg16_1815171521[[#This Row],[Withdrawal]])</f>
        <v>3900.3900000000049</v>
      </c>
      <c r="P118" s="504">
        <v>44298</v>
      </c>
      <c r="Q118" s="451">
        <f>IF(ISBLANK(CkReg16_1815171521[[#This Row],[Withdrawal]]),Q117+CkReg16_1815171521[[#This Row],[Deposit]],Q117-CkReg16_1815171521[[#This Row],[Withdrawal]])</f>
        <v>12615.389999999981</v>
      </c>
      <c r="R118" s="504">
        <v>1</v>
      </c>
    </row>
    <row r="119" spans="1:18" x14ac:dyDescent="0.3">
      <c r="H119" s="286"/>
      <c r="I119" s="383">
        <v>44297</v>
      </c>
      <c r="J119" s="285"/>
      <c r="K119" s="285" t="s">
        <v>1005</v>
      </c>
      <c r="L119" s="285" t="s">
        <v>392</v>
      </c>
      <c r="M119" s="446"/>
      <c r="N119" s="496">
        <v>-0.45</v>
      </c>
      <c r="O119" s="451">
        <f>IF(ISBLANK(CkReg16_1815171521[[#This Row],[Withdrawal]]),O118+CkReg16_1815171521[[#This Row],[Deposit]],O118-CkReg16_1815171521[[#This Row],[Withdrawal]])</f>
        <v>3899.9400000000051</v>
      </c>
      <c r="P119" s="504">
        <v>44299</v>
      </c>
      <c r="Q119" s="451">
        <f>IF(ISBLANK(CkReg16_1815171521[[#This Row],[Withdrawal]]),Q118+CkReg16_1815171521[[#This Row],[Deposit]],Q118-CkReg16_1815171521[[#This Row],[Withdrawal]])</f>
        <v>12614.939999999981</v>
      </c>
      <c r="R119" s="504">
        <v>1</v>
      </c>
    </row>
    <row r="120" spans="1:18" x14ac:dyDescent="0.3">
      <c r="H120" s="286"/>
      <c r="I120" s="383">
        <v>44297</v>
      </c>
      <c r="J120" s="285"/>
      <c r="K120" s="285" t="s">
        <v>1004</v>
      </c>
      <c r="L120" s="285" t="s">
        <v>392</v>
      </c>
      <c r="M120" s="446"/>
      <c r="N120" s="496">
        <v>5</v>
      </c>
      <c r="O120" s="451">
        <f>IF(ISBLANK(CkReg16_1815171521[[#This Row],[Withdrawal]]),O119+CkReg16_1815171521[[#This Row],[Deposit]],O119-CkReg16_1815171521[[#This Row],[Withdrawal]])</f>
        <v>3904.9400000000051</v>
      </c>
      <c r="P120" s="504">
        <v>44299</v>
      </c>
      <c r="Q120" s="451">
        <f>IF(ISBLANK(CkReg16_1815171521[[#This Row],[Withdrawal]]),Q119+CkReg16_1815171521[[#This Row],[Deposit]],Q119-CkReg16_1815171521[[#This Row],[Withdrawal]])</f>
        <v>12619.939999999981</v>
      </c>
      <c r="R120" s="504">
        <v>1</v>
      </c>
    </row>
    <row r="121" spans="1:18" x14ac:dyDescent="0.3">
      <c r="H121" s="286"/>
      <c r="I121" s="383">
        <v>44297</v>
      </c>
      <c r="J121" s="285"/>
      <c r="K121" s="285" t="s">
        <v>1004</v>
      </c>
      <c r="L121" s="285" t="s">
        <v>392</v>
      </c>
      <c r="M121" s="446"/>
      <c r="N121" s="496">
        <v>10</v>
      </c>
      <c r="O121" s="451">
        <f>IF(ISBLANK(CkReg16_1815171521[[#This Row],[Withdrawal]]),O120+CkReg16_1815171521[[#This Row],[Deposit]],O120-CkReg16_1815171521[[#This Row],[Withdrawal]])</f>
        <v>3914.9400000000051</v>
      </c>
      <c r="P121" s="504">
        <v>44298</v>
      </c>
      <c r="Q121" s="451">
        <f>IF(ISBLANK(CkReg16_1815171521[[#This Row],[Withdrawal]]),Q120+CkReg16_1815171521[[#This Row],[Deposit]],Q120-CkReg16_1815171521[[#This Row],[Withdrawal]])</f>
        <v>12629.939999999981</v>
      </c>
      <c r="R121" s="504">
        <v>1</v>
      </c>
    </row>
    <row r="122" spans="1:18" x14ac:dyDescent="0.3">
      <c r="F122" s="96" t="s">
        <v>1020</v>
      </c>
      <c r="H122" s="286"/>
      <c r="I122" s="383">
        <v>44304</v>
      </c>
      <c r="J122" s="285"/>
      <c r="K122" s="285" t="s">
        <v>1005</v>
      </c>
      <c r="L122" s="285" t="s">
        <v>392</v>
      </c>
      <c r="M122" s="446"/>
      <c r="N122" s="496">
        <v>-0.45</v>
      </c>
      <c r="O122" s="451">
        <f>IF(ISBLANK(CkReg16_1815171521[[#This Row],[Withdrawal]]),O121+CkReg16_1815171521[[#This Row],[Deposit]],O121-CkReg16_1815171521[[#This Row],[Withdrawal]])</f>
        <v>3914.4900000000052</v>
      </c>
      <c r="P122" s="504">
        <v>44305</v>
      </c>
      <c r="Q122" s="451">
        <f>IF(ISBLANK(CkReg16_1815171521[[#This Row],[Withdrawal]]),Q121+CkReg16_1815171521[[#This Row],[Deposit]],Q121-CkReg16_1815171521[[#This Row],[Withdrawal]])</f>
        <v>12629.48999999998</v>
      </c>
      <c r="R122" s="376">
        <v>1</v>
      </c>
    </row>
    <row r="123" spans="1:18" x14ac:dyDescent="0.3">
      <c r="H123" s="286"/>
      <c r="I123" s="383">
        <v>44304</v>
      </c>
      <c r="J123" s="285"/>
      <c r="K123" s="285" t="s">
        <v>1004</v>
      </c>
      <c r="L123" s="285" t="s">
        <v>392</v>
      </c>
      <c r="M123" s="446"/>
      <c r="N123" s="496">
        <v>5</v>
      </c>
      <c r="O123" s="451">
        <f>IF(ISBLANK(CkReg16_1815171521[[#This Row],[Withdrawal]]),O122+CkReg16_1815171521[[#This Row],[Deposit]],O122-CkReg16_1815171521[[#This Row],[Withdrawal]])</f>
        <v>3919.4900000000052</v>
      </c>
      <c r="P123" s="504">
        <v>44305</v>
      </c>
      <c r="Q123" s="451">
        <f>IF(ISBLANK(CkReg16_1815171521[[#This Row],[Withdrawal]]),Q122+CkReg16_1815171521[[#This Row],[Deposit]],Q122-CkReg16_1815171521[[#This Row],[Withdrawal]])</f>
        <v>12634.48999999998</v>
      </c>
      <c r="R123" s="376">
        <v>1</v>
      </c>
    </row>
    <row r="124" spans="1:18" x14ac:dyDescent="0.3">
      <c r="H124" s="286"/>
      <c r="I124" s="383">
        <v>44309</v>
      </c>
      <c r="J124" s="285" t="s">
        <v>397</v>
      </c>
      <c r="K124" s="285" t="s">
        <v>1005</v>
      </c>
      <c r="L124" s="285" t="s">
        <v>219</v>
      </c>
      <c r="M124" s="446"/>
      <c r="N124" s="496">
        <v>-6.1</v>
      </c>
      <c r="O124" s="451">
        <f>IF(ISBLANK(CkReg16_1815171521[[#This Row],[Withdrawal]]),O123+CkReg16_1815171521[[#This Row],[Deposit]],O123-CkReg16_1815171521[[#This Row],[Withdrawal]])</f>
        <v>3913.3900000000053</v>
      </c>
      <c r="P124" s="504">
        <v>44312</v>
      </c>
      <c r="Q124" s="451">
        <f>IF(ISBLANK(CkReg16_1815171521[[#This Row],[Withdrawal]]),Q123+CkReg16_1815171521[[#This Row],[Deposit]],Q123-CkReg16_1815171521[[#This Row],[Withdrawal]])</f>
        <v>12628.389999999979</v>
      </c>
      <c r="R124" s="376">
        <v>1</v>
      </c>
    </row>
    <row r="125" spans="1:18" x14ac:dyDescent="0.3">
      <c r="H125" s="286"/>
      <c r="I125" s="383">
        <v>44309</v>
      </c>
      <c r="J125" s="285" t="s">
        <v>397</v>
      </c>
      <c r="K125" s="285" t="s">
        <v>988</v>
      </c>
      <c r="L125" s="285" t="s">
        <v>219</v>
      </c>
      <c r="M125" s="446"/>
      <c r="N125" s="496">
        <v>200</v>
      </c>
      <c r="O125" s="451">
        <f>IF(ISBLANK(CkReg16_1815171521[[#This Row],[Withdrawal]]),O124+CkReg16_1815171521[[#This Row],[Deposit]],O124-CkReg16_1815171521[[#This Row],[Withdrawal]])</f>
        <v>4113.3900000000049</v>
      </c>
      <c r="P125" s="504">
        <v>44312</v>
      </c>
      <c r="Q125" s="451">
        <f>IF(ISBLANK(CkReg16_1815171521[[#This Row],[Withdrawal]]),Q124+CkReg16_1815171521[[#This Row],[Deposit]],Q124-CkReg16_1815171521[[#This Row],[Withdrawal]])</f>
        <v>12828.389999999979</v>
      </c>
      <c r="R125" s="376">
        <v>1</v>
      </c>
    </row>
    <row r="126" spans="1:18" x14ac:dyDescent="0.3">
      <c r="H126" s="285"/>
      <c r="I126" s="383">
        <v>44311</v>
      </c>
      <c r="J126" s="285"/>
      <c r="K126" s="285" t="s">
        <v>1005</v>
      </c>
      <c r="L126" s="285" t="s">
        <v>392</v>
      </c>
      <c r="M126" s="446"/>
      <c r="N126" s="496">
        <v>-0.59</v>
      </c>
      <c r="O126" s="451">
        <f>IF(ISBLANK(CkReg16_1815171521[[#This Row],[Withdrawal]]),O125+CkReg16_1815171521[[#This Row],[Deposit]],O125-CkReg16_1815171521[[#This Row],[Withdrawal]])</f>
        <v>4112.8000000000047</v>
      </c>
      <c r="P126" s="504">
        <v>44312</v>
      </c>
      <c r="Q126" s="451">
        <f>IF(ISBLANK(CkReg16_1815171521[[#This Row],[Withdrawal]]),Q125+CkReg16_1815171521[[#This Row],[Deposit]],Q125-CkReg16_1815171521[[#This Row],[Withdrawal]])</f>
        <v>12827.799999999979</v>
      </c>
      <c r="R126" s="504">
        <v>1</v>
      </c>
    </row>
    <row r="127" spans="1:18" x14ac:dyDescent="0.3">
      <c r="H127" s="286"/>
      <c r="I127" s="383">
        <v>44311</v>
      </c>
      <c r="J127" s="285"/>
      <c r="K127" s="285" t="s">
        <v>1005</v>
      </c>
      <c r="L127" s="285" t="s">
        <v>392</v>
      </c>
      <c r="M127" s="446"/>
      <c r="N127" s="496">
        <v>-0.45</v>
      </c>
      <c r="O127" s="451">
        <f>IF(ISBLANK(CkReg16_1815171521[[#This Row],[Withdrawal]]),O126+CkReg16_1815171521[[#This Row],[Deposit]],O126-CkReg16_1815171521[[#This Row],[Withdrawal]])</f>
        <v>4112.3500000000049</v>
      </c>
      <c r="P127" s="504">
        <v>44312</v>
      </c>
      <c r="Q127" s="451">
        <f>IF(ISBLANK(CkReg16_1815171521[[#This Row],[Withdrawal]]),Q126+CkReg16_1815171521[[#This Row],[Deposit]],Q126-CkReg16_1815171521[[#This Row],[Withdrawal]])</f>
        <v>12827.349999999979</v>
      </c>
      <c r="R127" s="504">
        <v>1</v>
      </c>
    </row>
    <row r="128" spans="1:18" x14ac:dyDescent="0.3">
      <c r="H128" s="285"/>
      <c r="I128" s="383">
        <v>44311</v>
      </c>
      <c r="J128" s="285"/>
      <c r="K128" s="285" t="s">
        <v>1005</v>
      </c>
      <c r="L128" s="285" t="s">
        <v>392</v>
      </c>
      <c r="M128" s="446"/>
      <c r="N128" s="496">
        <v>-0.45</v>
      </c>
      <c r="O128" s="451">
        <f>IF(ISBLANK(CkReg16_1815171521[[#This Row],[Withdrawal]]),O127+CkReg16_1815171521[[#This Row],[Deposit]],O127-CkReg16_1815171521[[#This Row],[Withdrawal]])</f>
        <v>4111.9000000000051</v>
      </c>
      <c r="P128" s="504">
        <v>44312</v>
      </c>
      <c r="Q128" s="451">
        <f>IF(ISBLANK(CkReg16_1815171521[[#This Row],[Withdrawal]]),Q127+CkReg16_1815171521[[#This Row],[Deposit]],Q127-CkReg16_1815171521[[#This Row],[Withdrawal]])</f>
        <v>12826.899999999978</v>
      </c>
      <c r="R128" s="504">
        <v>1</v>
      </c>
    </row>
    <row r="129" spans="8:18" x14ac:dyDescent="0.3">
      <c r="H129" s="286"/>
      <c r="I129" s="383">
        <v>44311</v>
      </c>
      <c r="J129" s="285"/>
      <c r="K129" s="285" t="s">
        <v>1004</v>
      </c>
      <c r="L129" s="285" t="s">
        <v>392</v>
      </c>
      <c r="M129" s="446"/>
      <c r="N129" s="496">
        <v>5</v>
      </c>
      <c r="O129" s="451">
        <f>IF(ISBLANK(CkReg16_1815171521[[#This Row],[Withdrawal]]),O128+CkReg16_1815171521[[#This Row],[Deposit]],O128-CkReg16_1815171521[[#This Row],[Withdrawal]])</f>
        <v>4116.9000000000051</v>
      </c>
      <c r="P129" s="504">
        <v>44312</v>
      </c>
      <c r="Q129" s="451">
        <f>IF(ISBLANK(CkReg16_1815171521[[#This Row],[Withdrawal]]),Q128+CkReg16_1815171521[[#This Row],[Deposit]],Q128-CkReg16_1815171521[[#This Row],[Withdrawal]])</f>
        <v>12831.899999999978</v>
      </c>
      <c r="R129" s="504">
        <v>1</v>
      </c>
    </row>
    <row r="130" spans="8:18" x14ac:dyDescent="0.3">
      <c r="H130" s="285"/>
      <c r="I130" s="383">
        <v>44311</v>
      </c>
      <c r="J130" s="285"/>
      <c r="K130" s="285" t="s">
        <v>1004</v>
      </c>
      <c r="L130" s="285" t="s">
        <v>392</v>
      </c>
      <c r="M130" s="446"/>
      <c r="N130" s="496">
        <v>5</v>
      </c>
      <c r="O130" s="451">
        <f>IF(ISBLANK(CkReg16_1815171521[[#This Row],[Withdrawal]]),O129+CkReg16_1815171521[[#This Row],[Deposit]],O129-CkReg16_1815171521[[#This Row],[Withdrawal]])</f>
        <v>4121.9000000000051</v>
      </c>
      <c r="P130" s="504">
        <v>44312</v>
      </c>
      <c r="Q130" s="451">
        <f>IF(ISBLANK(CkReg16_1815171521[[#This Row],[Withdrawal]]),Q129+CkReg16_1815171521[[#This Row],[Deposit]],Q129-CkReg16_1815171521[[#This Row],[Withdrawal]])</f>
        <v>12836.899999999978</v>
      </c>
      <c r="R130" s="504">
        <v>1</v>
      </c>
    </row>
    <row r="131" spans="8:18" x14ac:dyDescent="0.3">
      <c r="H131" s="286"/>
      <c r="I131" s="383">
        <v>44311</v>
      </c>
      <c r="J131" s="285"/>
      <c r="K131" s="285" t="s">
        <v>1004</v>
      </c>
      <c r="L131" s="285" t="s">
        <v>392</v>
      </c>
      <c r="M131" s="446"/>
      <c r="N131" s="496">
        <v>10</v>
      </c>
      <c r="O131" s="451">
        <f>IF(ISBLANK(CkReg16_1815171521[[#This Row],[Withdrawal]]),O130+CkReg16_1815171521[[#This Row],[Deposit]],O130-CkReg16_1815171521[[#This Row],[Withdrawal]])</f>
        <v>4131.9000000000051</v>
      </c>
      <c r="P131" s="504">
        <v>44312</v>
      </c>
      <c r="Q131" s="451">
        <f>IF(ISBLANK(CkReg16_1815171521[[#This Row],[Withdrawal]]),Q130+CkReg16_1815171521[[#This Row],[Deposit]],Q130-CkReg16_1815171521[[#This Row],[Withdrawal]])</f>
        <v>12846.899999999978</v>
      </c>
      <c r="R131" s="504">
        <v>1</v>
      </c>
    </row>
    <row r="132" spans="8:18" x14ac:dyDescent="0.3">
      <c r="H132" s="286"/>
      <c r="I132" s="383">
        <v>44316</v>
      </c>
      <c r="J132" s="285"/>
      <c r="K132" s="285" t="s">
        <v>984</v>
      </c>
      <c r="L132" s="285" t="s">
        <v>219</v>
      </c>
      <c r="M132" s="446"/>
      <c r="N132" s="496">
        <v>16.309999999999999</v>
      </c>
      <c r="O132" s="451">
        <f>IF(ISBLANK(CkReg16_1815171521[[#This Row],[Withdrawal]]),O131+CkReg16_1815171521[[#This Row],[Deposit]],O131-CkReg16_1815171521[[#This Row],[Withdrawal]])</f>
        <v>4148.2100000000055</v>
      </c>
      <c r="P132" s="504">
        <v>44316</v>
      </c>
      <c r="Q132" s="451">
        <f>IF(ISBLANK(CkReg16_1815171521[[#This Row],[Withdrawal]]),Q131+CkReg16_1815171521[[#This Row],[Deposit]],Q131-CkReg16_1815171521[[#This Row],[Withdrawal]])</f>
        <v>12863.209999999977</v>
      </c>
      <c r="R132" s="504">
        <v>1</v>
      </c>
    </row>
    <row r="133" spans="8:18" x14ac:dyDescent="0.3">
      <c r="H133" s="285"/>
      <c r="I133" s="383">
        <v>44316</v>
      </c>
      <c r="J133" s="285"/>
      <c r="K133" s="285" t="s">
        <v>989</v>
      </c>
      <c r="L133" s="285" t="s">
        <v>946</v>
      </c>
      <c r="M133" s="446">
        <v>16.309999999999999</v>
      </c>
      <c r="N133" s="496"/>
      <c r="O133" s="451">
        <f>IF(ISBLANK(CkReg16_1815171521[[#This Row],[Withdrawal]]),O132+CkReg16_1815171521[[#This Row],[Deposit]],O132-CkReg16_1815171521[[#This Row],[Withdrawal]])</f>
        <v>4131.9000000000051</v>
      </c>
      <c r="P133" s="504">
        <v>44316</v>
      </c>
      <c r="Q133" s="451">
        <f>IF(ISBLANK(CkReg16_1815171521[[#This Row],[Withdrawal]]),Q132+CkReg16_1815171521[[#This Row],[Deposit]],Q132-CkReg16_1815171521[[#This Row],[Withdrawal]])</f>
        <v>12846.899999999978</v>
      </c>
      <c r="R133" s="504">
        <v>1</v>
      </c>
    </row>
    <row r="134" spans="8:18" x14ac:dyDescent="0.3">
      <c r="H134" s="286"/>
      <c r="I134" s="383">
        <v>44316</v>
      </c>
      <c r="J134" s="285"/>
      <c r="K134" s="285" t="s">
        <v>1009</v>
      </c>
      <c r="L134" s="285" t="s">
        <v>91</v>
      </c>
      <c r="M134" s="446"/>
      <c r="N134" s="496">
        <v>0.11</v>
      </c>
      <c r="O134" s="451">
        <f>IF(ISBLANK(CkReg16_1815171521[[#This Row],[Withdrawal]]),O133+CkReg16_1815171521[[#This Row],[Deposit]],O133-CkReg16_1815171521[[#This Row],[Withdrawal]])</f>
        <v>4132.0100000000048</v>
      </c>
      <c r="P134" s="504">
        <v>44316</v>
      </c>
      <c r="Q134" s="451">
        <f>IF(ISBLANK(CkReg16_1815171521[[#This Row],[Withdrawal]]),Q133+CkReg16_1815171521[[#This Row],[Deposit]],Q133-CkReg16_1815171521[[#This Row],[Withdrawal]])</f>
        <v>12847.009999999978</v>
      </c>
      <c r="R134" s="504">
        <v>44316</v>
      </c>
    </row>
    <row r="135" spans="8:18" x14ac:dyDescent="0.3">
      <c r="H135" s="505"/>
      <c r="I135" s="507">
        <v>44318</v>
      </c>
      <c r="J135" s="505"/>
      <c r="K135" s="505" t="s">
        <v>1005</v>
      </c>
      <c r="L135" s="285" t="s">
        <v>392</v>
      </c>
      <c r="M135" s="446"/>
      <c r="N135" s="496">
        <v>-0.45</v>
      </c>
      <c r="O135" s="451">
        <f>IF(ISBLANK(CkReg16_1815171521[[#This Row],[Withdrawal]]),O134+CkReg16_1815171521[[#This Row],[Deposit]],O134-CkReg16_1815171521[[#This Row],[Withdrawal]])</f>
        <v>4131.5600000000049</v>
      </c>
      <c r="P135" s="504">
        <v>44319</v>
      </c>
      <c r="Q135" s="451">
        <f>IF(ISBLANK(CkReg16_1815171521[[#This Row],[Withdrawal]]),Q134+CkReg16_1815171521[[#This Row],[Deposit]],Q134-CkReg16_1815171521[[#This Row],[Withdrawal]])</f>
        <v>12846.559999999978</v>
      </c>
      <c r="R135" s="504">
        <v>1</v>
      </c>
    </row>
    <row r="136" spans="8:18" x14ac:dyDescent="0.3">
      <c r="H136" s="505"/>
      <c r="I136" s="507">
        <v>44318</v>
      </c>
      <c r="J136" s="505"/>
      <c r="K136" s="505" t="s">
        <v>1005</v>
      </c>
      <c r="L136" s="505" t="s">
        <v>392</v>
      </c>
      <c r="M136" s="509"/>
      <c r="N136" s="506">
        <v>-0.45</v>
      </c>
      <c r="O136" s="451">
        <f>IF(ISBLANK(CkReg16_1815171521[[#This Row],[Withdrawal]]),O135+CkReg16_1815171521[[#This Row],[Deposit]],O135-CkReg16_1815171521[[#This Row],[Withdrawal]])</f>
        <v>4131.1100000000051</v>
      </c>
      <c r="P136" s="504">
        <v>44319</v>
      </c>
      <c r="Q136" s="451">
        <f>IF(ISBLANK(CkReg16_1815171521[[#This Row],[Withdrawal]]),Q135+CkReg16_1815171521[[#This Row],[Deposit]],Q135-CkReg16_1815171521[[#This Row],[Withdrawal]])</f>
        <v>12846.109999999977</v>
      </c>
      <c r="R136" s="504">
        <v>1</v>
      </c>
    </row>
    <row r="137" spans="8:18" x14ac:dyDescent="0.3">
      <c r="H137" s="286"/>
      <c r="I137" s="383">
        <v>44318</v>
      </c>
      <c r="J137" s="285"/>
      <c r="K137" s="285" t="s">
        <v>1005</v>
      </c>
      <c r="L137" s="285" t="s">
        <v>392</v>
      </c>
      <c r="M137" s="446"/>
      <c r="N137" s="496">
        <v>-0.45</v>
      </c>
      <c r="O137" s="451">
        <f>IF(ISBLANK(CkReg16_1815171521[[#This Row],[Withdrawal]]),O136+CkReg16_1815171521[[#This Row],[Deposit]],O136-CkReg16_1815171521[[#This Row],[Withdrawal]])</f>
        <v>4130.6600000000053</v>
      </c>
      <c r="P137" s="504">
        <v>44319</v>
      </c>
      <c r="Q137" s="451">
        <f>IF(ISBLANK(CkReg16_1815171521[[#This Row],[Withdrawal]]),Q136+CkReg16_1815171521[[#This Row],[Deposit]],Q136-CkReg16_1815171521[[#This Row],[Withdrawal]])</f>
        <v>12845.659999999976</v>
      </c>
      <c r="R137" s="376">
        <v>1</v>
      </c>
    </row>
    <row r="138" spans="8:18" x14ac:dyDescent="0.3">
      <c r="H138" s="505"/>
      <c r="I138" s="507">
        <v>44318</v>
      </c>
      <c r="J138" s="505"/>
      <c r="K138" s="505" t="s">
        <v>1004</v>
      </c>
      <c r="L138" s="505" t="s">
        <v>392</v>
      </c>
      <c r="M138" s="509"/>
      <c r="N138" s="496">
        <v>5</v>
      </c>
      <c r="O138" s="451">
        <f>IF(ISBLANK(CkReg16_1815171521[[#This Row],[Withdrawal]]),O137+CkReg16_1815171521[[#This Row],[Deposit]],O137-CkReg16_1815171521[[#This Row],[Withdrawal]])</f>
        <v>4135.6600000000053</v>
      </c>
      <c r="P138" s="504">
        <v>44319</v>
      </c>
      <c r="Q138" s="451">
        <f>IF(ISBLANK(CkReg16_1815171521[[#This Row],[Withdrawal]]),Q137+CkReg16_1815171521[[#This Row],[Deposit]],Q137-CkReg16_1815171521[[#This Row],[Withdrawal]])</f>
        <v>12850.659999999976</v>
      </c>
      <c r="R138" s="376">
        <v>1</v>
      </c>
    </row>
    <row r="139" spans="8:18" x14ac:dyDescent="0.3">
      <c r="H139" s="286"/>
      <c r="I139" s="383">
        <v>44318</v>
      </c>
      <c r="J139" s="285"/>
      <c r="K139" s="285" t="s">
        <v>1004</v>
      </c>
      <c r="L139" s="285" t="s">
        <v>392</v>
      </c>
      <c r="M139" s="446"/>
      <c r="N139" s="496">
        <v>5</v>
      </c>
      <c r="O139" s="451">
        <f>IF(ISBLANK(CkReg16_1815171521[[#This Row],[Withdrawal]]),O138+CkReg16_1815171521[[#This Row],[Deposit]],O138-CkReg16_1815171521[[#This Row],[Withdrawal]])</f>
        <v>4140.6600000000053</v>
      </c>
      <c r="P139" s="504">
        <v>44319</v>
      </c>
      <c r="Q139" s="451">
        <f>IF(ISBLANK(CkReg16_1815171521[[#This Row],[Withdrawal]]),Q138+CkReg16_1815171521[[#This Row],[Deposit]],Q138-CkReg16_1815171521[[#This Row],[Withdrawal]])</f>
        <v>12855.659999999976</v>
      </c>
      <c r="R139" s="376">
        <v>1</v>
      </c>
    </row>
    <row r="140" spans="8:18" x14ac:dyDescent="0.3">
      <c r="H140" s="286"/>
      <c r="I140" s="383">
        <v>44318</v>
      </c>
      <c r="J140" s="285"/>
      <c r="K140" s="285" t="s">
        <v>1004</v>
      </c>
      <c r="L140" s="285" t="s">
        <v>392</v>
      </c>
      <c r="M140" s="446"/>
      <c r="N140" s="496">
        <v>5</v>
      </c>
      <c r="O140" s="451">
        <f>IF(ISBLANK(CkReg16_1815171521[[#This Row],[Withdrawal]]),O139+CkReg16_1815171521[[#This Row],[Deposit]],O139-CkReg16_1815171521[[#This Row],[Withdrawal]])</f>
        <v>4145.6600000000053</v>
      </c>
      <c r="P140" s="504">
        <v>44319</v>
      </c>
      <c r="Q140" s="451">
        <f>IF(ISBLANK(CkReg16_1815171521[[#This Row],[Withdrawal]]),Q139+CkReg16_1815171521[[#This Row],[Deposit]],Q139-CkReg16_1815171521[[#This Row],[Withdrawal]])</f>
        <v>12860.659999999976</v>
      </c>
      <c r="R140" s="376">
        <v>1</v>
      </c>
    </row>
    <row r="141" spans="8:18" x14ac:dyDescent="0.3">
      <c r="H141" s="285"/>
      <c r="I141" s="383">
        <v>44339</v>
      </c>
      <c r="J141" s="285"/>
      <c r="K141" s="285" t="s">
        <v>1005</v>
      </c>
      <c r="L141" s="285" t="s">
        <v>392</v>
      </c>
      <c r="M141" s="446"/>
      <c r="N141" s="496">
        <v>-0.59</v>
      </c>
      <c r="O141" s="451">
        <f>IF(ISBLANK(CkReg16_1815171521[[#This Row],[Withdrawal]]),O140+CkReg16_1815171521[[#This Row],[Deposit]],O140-CkReg16_1815171521[[#This Row],[Withdrawal]])</f>
        <v>4145.0700000000052</v>
      </c>
      <c r="P141" s="504">
        <v>44340</v>
      </c>
      <c r="Q141" s="451">
        <f>IF(ISBLANK(CkReg16_1815171521[[#This Row],[Withdrawal]]),Q140+CkReg16_1815171521[[#This Row],[Deposit]],Q140-CkReg16_1815171521[[#This Row],[Withdrawal]])</f>
        <v>12860.069999999976</v>
      </c>
      <c r="R141" s="504">
        <v>1</v>
      </c>
    </row>
    <row r="142" spans="8:18" x14ac:dyDescent="0.3">
      <c r="H142" s="285"/>
      <c r="I142" s="383">
        <v>44339</v>
      </c>
      <c r="J142" s="285"/>
      <c r="K142" s="285" t="s">
        <v>1004</v>
      </c>
      <c r="L142" s="285" t="s">
        <v>392</v>
      </c>
      <c r="M142" s="446"/>
      <c r="N142" s="496">
        <v>10</v>
      </c>
      <c r="O142" s="451">
        <f>IF(ISBLANK(CkReg16_1815171521[[#This Row],[Withdrawal]]),O141+CkReg16_1815171521[[#This Row],[Deposit]],O141-CkReg16_1815171521[[#This Row],[Withdrawal]])</f>
        <v>4155.0700000000052</v>
      </c>
      <c r="P142" s="504">
        <v>44340</v>
      </c>
      <c r="Q142" s="451">
        <f>IF(ISBLANK(CkReg16_1815171521[[#This Row],[Withdrawal]]),Q141+CkReg16_1815171521[[#This Row],[Deposit]],Q141-CkReg16_1815171521[[#This Row],[Withdrawal]])</f>
        <v>12870.069999999976</v>
      </c>
      <c r="R142" s="504">
        <v>1</v>
      </c>
    </row>
    <row r="143" spans="8:18" x14ac:dyDescent="0.3">
      <c r="H143" s="285"/>
      <c r="I143" s="383">
        <v>44347</v>
      </c>
      <c r="J143" s="285"/>
      <c r="K143" s="285" t="s">
        <v>984</v>
      </c>
      <c r="L143" s="285" t="s">
        <v>219</v>
      </c>
      <c r="M143" s="446"/>
      <c r="N143" s="496">
        <v>16.309999999999999</v>
      </c>
      <c r="O143" s="451">
        <f>IF(ISBLANK(CkReg16_1815171521[[#This Row],[Withdrawal]]),O142+CkReg16_1815171521[[#This Row],[Deposit]],O142-CkReg16_1815171521[[#This Row],[Withdrawal]])</f>
        <v>4171.3800000000056</v>
      </c>
      <c r="P143" s="504">
        <v>44347</v>
      </c>
      <c r="Q143" s="451">
        <f>IF(ISBLANK(CkReg16_1815171521[[#This Row],[Withdrawal]]),Q142+CkReg16_1815171521[[#This Row],[Deposit]],Q142-CkReg16_1815171521[[#This Row],[Withdrawal]])</f>
        <v>12886.379999999976</v>
      </c>
      <c r="R143" s="504">
        <v>1</v>
      </c>
    </row>
    <row r="144" spans="8:18" x14ac:dyDescent="0.3">
      <c r="H144" s="285"/>
      <c r="I144" s="383">
        <v>44347</v>
      </c>
      <c r="J144" s="285"/>
      <c r="K144" s="285" t="s">
        <v>989</v>
      </c>
      <c r="L144" s="285" t="s">
        <v>946</v>
      </c>
      <c r="M144" s="446">
        <v>16.309999999999999</v>
      </c>
      <c r="N144" s="496"/>
      <c r="O144" s="451">
        <f>IF(ISBLANK(CkReg16_1815171521[[#This Row],[Withdrawal]]),O143+CkReg16_1815171521[[#This Row],[Deposit]],O143-CkReg16_1815171521[[#This Row],[Withdrawal]])</f>
        <v>4155.0700000000052</v>
      </c>
      <c r="P144" s="504">
        <v>44347</v>
      </c>
      <c r="Q144" s="451">
        <f>IF(ISBLANK(CkReg16_1815171521[[#This Row],[Withdrawal]]),Q143+CkReg16_1815171521[[#This Row],[Deposit]],Q143-CkReg16_1815171521[[#This Row],[Withdrawal]])</f>
        <v>12870.069999999976</v>
      </c>
      <c r="R144" s="504">
        <v>1</v>
      </c>
    </row>
    <row r="145" spans="8:18" x14ac:dyDescent="0.3">
      <c r="H145" s="285"/>
      <c r="I145" s="383">
        <v>44347</v>
      </c>
      <c r="J145" s="285"/>
      <c r="K145" s="285" t="s">
        <v>1009</v>
      </c>
      <c r="L145" s="285" t="s">
        <v>91</v>
      </c>
      <c r="M145" s="446"/>
      <c r="N145" s="496">
        <v>0.1</v>
      </c>
      <c r="O145" s="451">
        <f>IF(ISBLANK(CkReg16_1815171521[[#This Row],[Withdrawal]]),O144+CkReg16_1815171521[[#This Row],[Deposit]],O144-CkReg16_1815171521[[#This Row],[Withdrawal]])</f>
        <v>4155.1700000000055</v>
      </c>
      <c r="P145" s="504">
        <v>44344</v>
      </c>
      <c r="Q145" s="451">
        <f>IF(ISBLANK(CkReg16_1815171521[[#This Row],[Withdrawal]]),Q144+CkReg16_1815171521[[#This Row],[Deposit]],Q144-CkReg16_1815171521[[#This Row],[Withdrawal]])</f>
        <v>12870.169999999976</v>
      </c>
      <c r="R145" s="504">
        <v>44347</v>
      </c>
    </row>
    <row r="146" spans="8:18" x14ac:dyDescent="0.3">
      <c r="H146" s="286">
        <v>3441</v>
      </c>
      <c r="I146" s="383">
        <v>44352</v>
      </c>
      <c r="J146" s="285" t="s">
        <v>172</v>
      </c>
      <c r="K146" s="285" t="s">
        <v>1032</v>
      </c>
      <c r="L146" s="285" t="s">
        <v>52</v>
      </c>
      <c r="M146" s="446">
        <v>39.25</v>
      </c>
      <c r="N146" s="496"/>
      <c r="O146" s="451">
        <f>IF(ISBLANK(CkReg16_1815171521[[#This Row],[Withdrawal]]),O145+CkReg16_1815171521[[#This Row],[Deposit]],O145-CkReg16_1815171521[[#This Row],[Withdrawal]])</f>
        <v>4115.9200000000055</v>
      </c>
      <c r="P146" s="376">
        <v>44432</v>
      </c>
      <c r="Q146" s="451">
        <f>IF(ISBLANK(CkReg16_1815171521[[#This Row],[Withdrawal]]),Q145+CkReg16_1815171521[[#This Row],[Deposit]],Q145-CkReg16_1815171521[[#This Row],[Withdrawal]])</f>
        <v>12830.919999999976</v>
      </c>
      <c r="R146" s="504">
        <v>1</v>
      </c>
    </row>
    <row r="147" spans="8:18" x14ac:dyDescent="0.3">
      <c r="H147" s="286">
        <v>3443</v>
      </c>
      <c r="I147" s="383">
        <v>44352</v>
      </c>
      <c r="J147" s="285" t="s">
        <v>1024</v>
      </c>
      <c r="K147" s="285" t="s">
        <v>1027</v>
      </c>
      <c r="L147" s="285" t="s">
        <v>392</v>
      </c>
      <c r="M147" s="446"/>
      <c r="N147" s="496">
        <v>-169.79</v>
      </c>
      <c r="O147" s="451">
        <f>IF(ISBLANK(CkReg16_1815171521[[#This Row],[Withdrawal]]),O146+CkReg16_1815171521[[#This Row],[Deposit]],O146-CkReg16_1815171521[[#This Row],[Withdrawal]])</f>
        <v>3946.1300000000056</v>
      </c>
      <c r="P147" s="504">
        <v>44372</v>
      </c>
      <c r="Q147" s="451">
        <f>IF(ISBLANK(CkReg16_1815171521[[#This Row],[Withdrawal]]),Q146+CkReg16_1815171521[[#This Row],[Deposit]],Q146-CkReg16_1815171521[[#This Row],[Withdrawal]])</f>
        <v>12661.129999999976</v>
      </c>
      <c r="R147" s="504">
        <v>1</v>
      </c>
    </row>
    <row r="148" spans="8:18" x14ac:dyDescent="0.3">
      <c r="H148" s="285">
        <v>3436</v>
      </c>
      <c r="I148" s="383">
        <v>44352</v>
      </c>
      <c r="J148" s="285" t="s">
        <v>1021</v>
      </c>
      <c r="K148" s="285" t="s">
        <v>656</v>
      </c>
      <c r="L148" s="285" t="s">
        <v>920</v>
      </c>
      <c r="M148" s="446">
        <v>200</v>
      </c>
      <c r="N148" s="496"/>
      <c r="O148" s="451">
        <f>IF(ISBLANK(CkReg16_1815171521[[#This Row],[Withdrawal]]),O147+CkReg16_1815171521[[#This Row],[Deposit]],O147-CkReg16_1815171521[[#This Row],[Withdrawal]])</f>
        <v>3746.1300000000056</v>
      </c>
      <c r="P148" s="504">
        <v>44357</v>
      </c>
      <c r="Q148" s="451">
        <f>IF(ISBLANK(CkReg16_1815171521[[#This Row],[Withdrawal]]),Q147+CkReg16_1815171521[[#This Row],[Deposit]],Q147-CkReg16_1815171521[[#This Row],[Withdrawal]])</f>
        <v>12461.129999999976</v>
      </c>
      <c r="R148" s="504">
        <v>1</v>
      </c>
    </row>
    <row r="149" spans="8:18" x14ac:dyDescent="0.3">
      <c r="H149" s="286">
        <v>3437</v>
      </c>
      <c r="I149" s="383">
        <v>44352</v>
      </c>
      <c r="J149" s="285" t="s">
        <v>92</v>
      </c>
      <c r="K149" s="285" t="s">
        <v>1011</v>
      </c>
      <c r="L149" s="285" t="s">
        <v>43</v>
      </c>
      <c r="M149" s="446">
        <v>100</v>
      </c>
      <c r="N149" s="496"/>
      <c r="O149" s="451">
        <f>IF(ISBLANK(CkReg16_1815171521[[#This Row],[Withdrawal]]),O148+CkReg16_1815171521[[#This Row],[Deposit]],O148-CkReg16_1815171521[[#This Row],[Withdrawal]])</f>
        <v>3646.1300000000056</v>
      </c>
      <c r="P149" s="504">
        <v>44357</v>
      </c>
      <c r="Q149" s="451">
        <f>IF(ISBLANK(CkReg16_1815171521[[#This Row],[Withdrawal]]),Q148+CkReg16_1815171521[[#This Row],[Deposit]],Q148-CkReg16_1815171521[[#This Row],[Withdrawal]])</f>
        <v>12361.129999999976</v>
      </c>
      <c r="R149" s="504">
        <v>1</v>
      </c>
    </row>
    <row r="150" spans="8:18" x14ac:dyDescent="0.3">
      <c r="H150" s="286">
        <v>3438</v>
      </c>
      <c r="I150" s="383">
        <v>44352</v>
      </c>
      <c r="J150" s="285" t="s">
        <v>1022</v>
      </c>
      <c r="K150" s="285" t="s">
        <v>1026</v>
      </c>
      <c r="L150" s="285" t="s">
        <v>68</v>
      </c>
      <c r="M150" s="446">
        <v>125</v>
      </c>
      <c r="N150" s="496"/>
      <c r="O150" s="451">
        <f>IF(ISBLANK(CkReg16_1815171521[[#This Row],[Withdrawal]]),O149+CkReg16_1815171521[[#This Row],[Deposit]],O149-CkReg16_1815171521[[#This Row],[Withdrawal]])</f>
        <v>3521.1300000000056</v>
      </c>
      <c r="P150" s="376">
        <v>44413</v>
      </c>
      <c r="Q150" s="451">
        <f>IF(ISBLANK(CkReg16_1815171521[[#This Row],[Withdrawal]]),Q149+CkReg16_1815171521[[#This Row],[Deposit]],Q149-CkReg16_1815171521[[#This Row],[Withdrawal]])</f>
        <v>12236.129999999976</v>
      </c>
      <c r="R150" s="504">
        <v>1</v>
      </c>
    </row>
    <row r="151" spans="8:18" x14ac:dyDescent="0.3">
      <c r="H151" s="286">
        <v>3440</v>
      </c>
      <c r="I151" s="383">
        <v>44352</v>
      </c>
      <c r="J151" s="285" t="s">
        <v>1030</v>
      </c>
      <c r="K151" s="285" t="s">
        <v>1028</v>
      </c>
      <c r="L151" s="285" t="s">
        <v>389</v>
      </c>
      <c r="M151" s="446">
        <v>300</v>
      </c>
      <c r="N151" s="496"/>
      <c r="O151" s="451">
        <f>IF(ISBLANK(CkReg16_1815171521[[#This Row],[Withdrawal]]),O150+CkReg16_1815171521[[#This Row],[Deposit]],O150-CkReg16_1815171521[[#This Row],[Withdrawal]])</f>
        <v>3221.1300000000056</v>
      </c>
      <c r="P151" s="504">
        <v>44377</v>
      </c>
      <c r="Q151" s="451">
        <f>IF(ISBLANK(CkReg16_1815171521[[#This Row],[Withdrawal]]),Q150+CkReg16_1815171521[[#This Row],[Deposit]],Q150-CkReg16_1815171521[[#This Row],[Withdrawal]])</f>
        <v>11936.129999999976</v>
      </c>
      <c r="R151" s="504">
        <v>1</v>
      </c>
    </row>
    <row r="152" spans="8:18" x14ac:dyDescent="0.3">
      <c r="H152" s="286">
        <v>3442</v>
      </c>
      <c r="I152" s="383">
        <v>44352</v>
      </c>
      <c r="J152" s="285" t="s">
        <v>1029</v>
      </c>
      <c r="K152" s="285" t="s">
        <v>67</v>
      </c>
      <c r="L152" s="285" t="s">
        <v>67</v>
      </c>
      <c r="M152" s="446">
        <v>1650</v>
      </c>
      <c r="N152" s="496"/>
      <c r="O152" s="451">
        <f>IF(ISBLANK(CkReg16_1815171521[[#This Row],[Withdrawal]]),O151+CkReg16_1815171521[[#This Row],[Deposit]],O151-CkReg16_1815171521[[#This Row],[Withdrawal]])</f>
        <v>1571.1300000000056</v>
      </c>
      <c r="P152" s="504">
        <v>44399</v>
      </c>
      <c r="Q152" s="451">
        <f>IF(ISBLANK(CkReg16_1815171521[[#This Row],[Withdrawal]]),Q151+CkReg16_1815171521[[#This Row],[Deposit]],Q151-CkReg16_1815171521[[#This Row],[Withdrawal]])</f>
        <v>10286.129999999976</v>
      </c>
      <c r="R152" s="376">
        <v>1</v>
      </c>
    </row>
    <row r="153" spans="8:18" x14ac:dyDescent="0.3">
      <c r="H153" s="286">
        <v>3439</v>
      </c>
      <c r="I153" s="383">
        <v>44352</v>
      </c>
      <c r="J153" s="285" t="s">
        <v>1023</v>
      </c>
      <c r="K153" s="285" t="s">
        <v>1031</v>
      </c>
      <c r="L153" s="285" t="s">
        <v>36</v>
      </c>
      <c r="M153" s="446">
        <v>100</v>
      </c>
      <c r="N153" s="496"/>
      <c r="O153" s="451">
        <f>IF(ISBLANK(CkReg16_1815171521[[#This Row],[Withdrawal]]),O152+CkReg16_1815171521[[#This Row],[Deposit]],O152-CkReg16_1815171521[[#This Row],[Withdrawal]])</f>
        <v>1471.1300000000056</v>
      </c>
      <c r="P153" s="376">
        <v>44463</v>
      </c>
      <c r="Q153" s="451">
        <f>IF(ISBLANK(CkReg16_1815171521[[#This Row],[Withdrawal]]),Q152+CkReg16_1815171521[[#This Row],[Deposit]],Q152-CkReg16_1815171521[[#This Row],[Withdrawal]])</f>
        <v>10186.129999999976</v>
      </c>
      <c r="R153" s="376">
        <v>1</v>
      </c>
    </row>
    <row r="154" spans="8:18" x14ac:dyDescent="0.3">
      <c r="H154" s="499"/>
      <c r="I154" s="500">
        <v>44357</v>
      </c>
      <c r="J154" s="501" t="s">
        <v>1033</v>
      </c>
      <c r="K154" s="501" t="s">
        <v>1034</v>
      </c>
      <c r="L154" s="501" t="s">
        <v>44</v>
      </c>
      <c r="M154" s="502">
        <v>50</v>
      </c>
      <c r="N154" s="503"/>
      <c r="O154" s="451">
        <f>IF(ISBLANK(CkReg16_1815171521[[#This Row],[Withdrawal]]),O153+CkReg16_1815171521[[#This Row],[Deposit]],O153-CkReg16_1815171521[[#This Row],[Withdrawal]])</f>
        <v>1421.1300000000056</v>
      </c>
      <c r="P154" s="504">
        <v>44357</v>
      </c>
      <c r="Q154" s="451">
        <f>IF(ISBLANK(CkReg16_1815171521[[#This Row],[Withdrawal]]),Q153+CkReg16_1815171521[[#This Row],[Deposit]],Q153-CkReg16_1815171521[[#This Row],[Withdrawal]])</f>
        <v>10136.129999999976</v>
      </c>
      <c r="R154" s="376">
        <v>1</v>
      </c>
    </row>
    <row r="155" spans="8:18" x14ac:dyDescent="0.3">
      <c r="H155" s="499"/>
      <c r="I155" s="500">
        <v>44377</v>
      </c>
      <c r="J155" s="501"/>
      <c r="K155" s="501" t="s">
        <v>984</v>
      </c>
      <c r="L155" s="501" t="s">
        <v>219</v>
      </c>
      <c r="M155" s="502"/>
      <c r="N155" s="503">
        <v>16.309999999999999</v>
      </c>
      <c r="O155" s="451">
        <f>IF(ISBLANK(CkReg16_1815171521[[#This Row],[Withdrawal]]),O154+CkReg16_1815171521[[#This Row],[Deposit]],O154-CkReg16_1815171521[[#This Row],[Withdrawal]])</f>
        <v>1437.4400000000055</v>
      </c>
      <c r="P155" s="504">
        <v>44377</v>
      </c>
      <c r="Q155" s="451">
        <f>IF(ISBLANK(CkReg16_1815171521[[#This Row],[Withdrawal]]),Q154+CkReg16_1815171521[[#This Row],[Deposit]],Q154-CkReg16_1815171521[[#This Row],[Withdrawal]])</f>
        <v>10152.439999999975</v>
      </c>
      <c r="R155" s="376">
        <v>1</v>
      </c>
    </row>
    <row r="156" spans="8:18" x14ac:dyDescent="0.3">
      <c r="H156" s="499"/>
      <c r="I156" s="500">
        <v>44377</v>
      </c>
      <c r="J156" s="501"/>
      <c r="K156" s="501" t="s">
        <v>989</v>
      </c>
      <c r="L156" s="501" t="s">
        <v>946</v>
      </c>
      <c r="M156" s="502">
        <v>16.309999999999999</v>
      </c>
      <c r="N156" s="503"/>
      <c r="O156" s="451">
        <f>IF(ISBLANK(CkReg16_1815171521[[#This Row],[Withdrawal]]),O155+CkReg16_1815171521[[#This Row],[Deposit]],O155-CkReg16_1815171521[[#This Row],[Withdrawal]])</f>
        <v>1421.1300000000056</v>
      </c>
      <c r="P156" s="504">
        <v>44377</v>
      </c>
      <c r="Q156" s="451">
        <f>IF(ISBLANK(CkReg16_1815171521[[#This Row],[Withdrawal]]),Q155+CkReg16_1815171521[[#This Row],[Deposit]],Q155-CkReg16_1815171521[[#This Row],[Withdrawal]])</f>
        <v>10136.129999999976</v>
      </c>
      <c r="R156" s="504">
        <v>1</v>
      </c>
    </row>
    <row r="157" spans="8:18" x14ac:dyDescent="0.3">
      <c r="H157" s="499"/>
      <c r="I157" s="500">
        <v>44377</v>
      </c>
      <c r="J157" s="501"/>
      <c r="K157" s="501" t="s">
        <v>1009</v>
      </c>
      <c r="L157" s="501" t="s">
        <v>91</v>
      </c>
      <c r="M157" s="502"/>
      <c r="N157" s="503">
        <v>0.1</v>
      </c>
      <c r="O157" s="451">
        <f>IF(ISBLANK(CkReg16_1815171521[[#This Row],[Withdrawal]]),O156+CkReg16_1815171521[[#This Row],[Deposit]],O156-CkReg16_1815171521[[#This Row],[Withdrawal]])</f>
        <v>1421.2300000000055</v>
      </c>
      <c r="P157" s="504">
        <v>44377</v>
      </c>
      <c r="Q157" s="451">
        <f>IF(ISBLANK(CkReg16_1815171521[[#This Row],[Withdrawal]]),Q156+CkReg16_1815171521[[#This Row],[Deposit]],Q156-CkReg16_1815171521[[#This Row],[Withdrawal]])</f>
        <v>10136.229999999976</v>
      </c>
      <c r="R157" s="504">
        <v>44377</v>
      </c>
    </row>
    <row r="158" spans="8:18" x14ac:dyDescent="0.3">
      <c r="H158" s="499"/>
      <c r="I158" s="500">
        <v>44386</v>
      </c>
      <c r="J158" s="501" t="s">
        <v>1033</v>
      </c>
      <c r="K158" s="501" t="s">
        <v>1034</v>
      </c>
      <c r="L158" s="501" t="s">
        <v>44</v>
      </c>
      <c r="M158" s="502">
        <v>50</v>
      </c>
      <c r="N158" s="503"/>
      <c r="O158" s="451">
        <f>IF(ISBLANK(CkReg16_1815171521[[#This Row],[Withdrawal]]),O157+CkReg16_1815171521[[#This Row],[Deposit]],O157-CkReg16_1815171521[[#This Row],[Withdrawal]])</f>
        <v>1371.2300000000055</v>
      </c>
      <c r="P158" s="504">
        <v>44386</v>
      </c>
      <c r="Q158" s="451">
        <f>IF(ISBLANK(CkReg16_1815171521[[#This Row],[Withdrawal]]),Q157+CkReg16_1815171521[[#This Row],[Deposit]],Q157-CkReg16_1815171521[[#This Row],[Withdrawal]])</f>
        <v>10086.229999999976</v>
      </c>
      <c r="R158" s="504">
        <v>1</v>
      </c>
    </row>
    <row r="159" spans="8:18" x14ac:dyDescent="0.3">
      <c r="H159" s="499">
        <v>3444</v>
      </c>
      <c r="I159" s="500">
        <v>44389</v>
      </c>
      <c r="J159" s="501" t="s">
        <v>85</v>
      </c>
      <c r="K159" s="501" t="s">
        <v>1025</v>
      </c>
      <c r="L159" s="501" t="s">
        <v>39</v>
      </c>
      <c r="M159" s="502">
        <v>46.2</v>
      </c>
      <c r="N159" s="503"/>
      <c r="O159" s="451">
        <f>IF(ISBLANK(CkReg16_1815171521[[#This Row],[Withdrawal]]),O158+CkReg16_1815171521[[#This Row],[Deposit]],O158-CkReg16_1815171521[[#This Row],[Withdrawal]])</f>
        <v>1325.0300000000054</v>
      </c>
      <c r="P159" s="504">
        <v>44399</v>
      </c>
      <c r="Q159" s="451">
        <f>IF(ISBLANK(CkReg16_1815171521[[#This Row],[Withdrawal]]),Q158+CkReg16_1815171521[[#This Row],[Deposit]],Q158-CkReg16_1815171521[[#This Row],[Withdrawal]])</f>
        <v>10040.029999999975</v>
      </c>
      <c r="R159" s="504">
        <v>1</v>
      </c>
    </row>
    <row r="160" spans="8:18" x14ac:dyDescent="0.3">
      <c r="H160" s="499">
        <v>3444</v>
      </c>
      <c r="I160" s="500">
        <v>44389</v>
      </c>
      <c r="J160" s="501" t="s">
        <v>85</v>
      </c>
      <c r="K160" s="285" t="s">
        <v>1073</v>
      </c>
      <c r="L160" s="501" t="s">
        <v>920</v>
      </c>
      <c r="M160" s="502">
        <f>7.05+80.1</f>
        <v>87.149999999999991</v>
      </c>
      <c r="N160" s="503"/>
      <c r="O160" s="451">
        <f>IF(ISBLANK(CkReg16_1815171521[[#This Row],[Withdrawal]]),O159+CkReg16_1815171521[[#This Row],[Deposit]],O159-CkReg16_1815171521[[#This Row],[Withdrawal]])</f>
        <v>1237.8800000000053</v>
      </c>
      <c r="P160" s="504">
        <v>44399</v>
      </c>
      <c r="Q160" s="451">
        <f>IF(ISBLANK(CkReg16_1815171521[[#This Row],[Withdrawal]]),Q159+CkReg16_1815171521[[#This Row],[Deposit]],Q159-CkReg16_1815171521[[#This Row],[Withdrawal]])</f>
        <v>9952.8799999999756</v>
      </c>
      <c r="R160" s="504">
        <v>1</v>
      </c>
    </row>
    <row r="161" spans="8:18" x14ac:dyDescent="0.3">
      <c r="H161" s="499"/>
      <c r="I161" s="500">
        <v>44408</v>
      </c>
      <c r="J161" s="501"/>
      <c r="K161" s="501" t="s">
        <v>984</v>
      </c>
      <c r="L161" s="501" t="s">
        <v>219</v>
      </c>
      <c r="M161" s="502"/>
      <c r="N161" s="503">
        <v>16.309999999999999</v>
      </c>
      <c r="O161" s="451">
        <f>IF(ISBLANK(CkReg16_1815171521[[#This Row],[Withdrawal]]),O160+CkReg16_1815171521[[#This Row],[Deposit]],O160-CkReg16_1815171521[[#This Row],[Withdrawal]])</f>
        <v>1254.1900000000053</v>
      </c>
      <c r="P161" s="504">
        <v>44408</v>
      </c>
      <c r="Q161" s="451">
        <f>IF(ISBLANK(CkReg16_1815171521[[#This Row],[Withdrawal]]),Q160+CkReg16_1815171521[[#This Row],[Deposit]],Q160-CkReg16_1815171521[[#This Row],[Withdrawal]])</f>
        <v>9969.189999999975</v>
      </c>
      <c r="R161" s="504">
        <v>1</v>
      </c>
    </row>
    <row r="162" spans="8:18" x14ac:dyDescent="0.3">
      <c r="H162" s="499"/>
      <c r="I162" s="500">
        <v>44408</v>
      </c>
      <c r="J162" s="501"/>
      <c r="K162" s="501" t="s">
        <v>989</v>
      </c>
      <c r="L162" s="501" t="s">
        <v>946</v>
      </c>
      <c r="M162" s="502">
        <v>16.309999999999999</v>
      </c>
      <c r="N162" s="503"/>
      <c r="O162" s="451">
        <f>IF(ISBLANK(CkReg16_1815171521[[#This Row],[Withdrawal]]),O161+CkReg16_1815171521[[#This Row],[Deposit]],O161-CkReg16_1815171521[[#This Row],[Withdrawal]])</f>
        <v>1237.8800000000053</v>
      </c>
      <c r="P162" s="504">
        <v>44408</v>
      </c>
      <c r="Q162" s="451">
        <f>IF(ISBLANK(CkReg16_1815171521[[#This Row],[Withdrawal]]),Q161+CkReg16_1815171521[[#This Row],[Deposit]],Q161-CkReg16_1815171521[[#This Row],[Withdrawal]])</f>
        <v>9952.8799999999756</v>
      </c>
      <c r="R162" s="504">
        <v>1</v>
      </c>
    </row>
    <row r="163" spans="8:18" x14ac:dyDescent="0.3">
      <c r="H163" s="499"/>
      <c r="I163" s="500">
        <v>44408</v>
      </c>
      <c r="J163" s="501"/>
      <c r="K163" s="501" t="s">
        <v>1009</v>
      </c>
      <c r="L163" s="501" t="s">
        <v>91</v>
      </c>
      <c r="M163" s="502"/>
      <c r="N163" s="503">
        <v>0.09</v>
      </c>
      <c r="O163" s="451">
        <f>IF(ISBLANK(CkReg16_1815171521[[#This Row],[Withdrawal]]),O162+CkReg16_1815171521[[#This Row],[Deposit]],O162-CkReg16_1815171521[[#This Row],[Withdrawal]])</f>
        <v>1237.9700000000053</v>
      </c>
      <c r="P163" s="504">
        <v>44407</v>
      </c>
      <c r="Q163" s="451">
        <f>IF(ISBLANK(CkReg16_1815171521[[#This Row],[Withdrawal]]),Q162+CkReg16_1815171521[[#This Row],[Deposit]],Q162-CkReg16_1815171521[[#This Row],[Withdrawal]])</f>
        <v>9952.9699999999757</v>
      </c>
      <c r="R163" s="504">
        <v>44408</v>
      </c>
    </row>
    <row r="164" spans="8:18" x14ac:dyDescent="0.3">
      <c r="H164" s="499"/>
      <c r="I164" s="500">
        <v>44410</v>
      </c>
      <c r="J164" s="501" t="s">
        <v>392</v>
      </c>
      <c r="K164" s="501" t="s">
        <v>1005</v>
      </c>
      <c r="L164" s="501" t="s">
        <v>219</v>
      </c>
      <c r="M164" s="502"/>
      <c r="N164" s="503">
        <v>-2.75</v>
      </c>
      <c r="O164" s="451">
        <f>IF(ISBLANK(CkReg16_1815171521[[#This Row],[Withdrawal]]),O163+CkReg16_1815171521[[#This Row],[Deposit]],O163-CkReg16_1815171521[[#This Row],[Withdrawal]])</f>
        <v>1235.2200000000053</v>
      </c>
      <c r="P164" s="504">
        <v>44411</v>
      </c>
      <c r="Q164" s="451">
        <f>IF(ISBLANK(CkReg16_1815171521[[#This Row],[Withdrawal]]),Q163+CkReg16_1815171521[[#This Row],[Deposit]],Q163-CkReg16_1815171521[[#This Row],[Withdrawal]])</f>
        <v>9950.2199999999757</v>
      </c>
      <c r="R164" s="504">
        <v>1</v>
      </c>
    </row>
    <row r="165" spans="8:18" x14ac:dyDescent="0.3">
      <c r="H165" s="499"/>
      <c r="I165" s="500">
        <v>44410</v>
      </c>
      <c r="J165" s="501" t="s">
        <v>392</v>
      </c>
      <c r="K165" s="501" t="s">
        <v>988</v>
      </c>
      <c r="L165" s="501" t="s">
        <v>219</v>
      </c>
      <c r="M165" s="502"/>
      <c r="N165" s="503">
        <v>84.58</v>
      </c>
      <c r="O165" s="451">
        <f>IF(ISBLANK(CkReg16_1815171521[[#This Row],[Withdrawal]]),O164+CkReg16_1815171521[[#This Row],[Deposit]],O164-CkReg16_1815171521[[#This Row],[Withdrawal]])</f>
        <v>1319.8000000000052</v>
      </c>
      <c r="P165" s="504">
        <v>44411</v>
      </c>
      <c r="Q165" s="451">
        <f>IF(ISBLANK(CkReg16_1815171521[[#This Row],[Withdrawal]]),Q164+CkReg16_1815171521[[#This Row],[Deposit]],Q164-CkReg16_1815171521[[#This Row],[Withdrawal]])</f>
        <v>10034.799999999976</v>
      </c>
      <c r="R165" s="504">
        <v>1</v>
      </c>
    </row>
    <row r="166" spans="8:18" x14ac:dyDescent="0.3">
      <c r="H166" s="499"/>
      <c r="I166" s="500">
        <v>44418</v>
      </c>
      <c r="J166" s="501" t="s">
        <v>1033</v>
      </c>
      <c r="K166" s="501" t="s">
        <v>1034</v>
      </c>
      <c r="L166" s="501" t="s">
        <v>44</v>
      </c>
      <c r="M166" s="502">
        <v>50</v>
      </c>
      <c r="N166" s="503"/>
      <c r="O166" s="451">
        <f>IF(ISBLANK(CkReg16_1815171521[[#This Row],[Withdrawal]]),O165+CkReg16_1815171521[[#This Row],[Deposit]],O165-CkReg16_1815171521[[#This Row],[Withdrawal]])</f>
        <v>1269.8000000000052</v>
      </c>
      <c r="P166" s="504">
        <v>44439</v>
      </c>
      <c r="Q166" s="451">
        <f>IF(ISBLANK(CkReg16_1815171521[[#This Row],[Withdrawal]]),Q165+CkReg16_1815171521[[#This Row],[Deposit]],Q165-CkReg16_1815171521[[#This Row],[Withdrawal]])</f>
        <v>9984.7999999999756</v>
      </c>
      <c r="R166" s="504">
        <v>1</v>
      </c>
    </row>
    <row r="167" spans="8:18" x14ac:dyDescent="0.3">
      <c r="H167" s="499">
        <v>3401</v>
      </c>
      <c r="I167" s="500">
        <v>44429</v>
      </c>
      <c r="J167" s="501" t="s">
        <v>782</v>
      </c>
      <c r="K167" s="501" t="s">
        <v>1042</v>
      </c>
      <c r="L167" s="501" t="s">
        <v>61</v>
      </c>
      <c r="M167" s="502"/>
      <c r="N167" s="503">
        <v>-100</v>
      </c>
      <c r="O167" s="451">
        <f>IF(ISBLANK(CkReg16_1815171521[[#This Row],[Withdrawal]]),O166+CkReg16_1815171521[[#This Row],[Deposit]],O166-CkReg16_1815171521[[#This Row],[Withdrawal]])</f>
        <v>1169.8000000000052</v>
      </c>
      <c r="P167" s="504">
        <v>44447</v>
      </c>
      <c r="Q167" s="451">
        <f>IF(ISBLANK(CkReg16_1815171521[[#This Row],[Withdrawal]]),Q166+CkReg16_1815171521[[#This Row],[Deposit]],Q166-CkReg16_1815171521[[#This Row],[Withdrawal]])</f>
        <v>9884.7999999999756</v>
      </c>
      <c r="R167" s="504">
        <v>1</v>
      </c>
    </row>
    <row r="168" spans="8:18" x14ac:dyDescent="0.3">
      <c r="H168" s="499">
        <v>3450</v>
      </c>
      <c r="I168" s="500">
        <v>44429</v>
      </c>
      <c r="J168" s="501" t="s">
        <v>131</v>
      </c>
      <c r="K168" s="501" t="s">
        <v>1042</v>
      </c>
      <c r="L168" s="501" t="s">
        <v>60</v>
      </c>
      <c r="M168" s="502"/>
      <c r="N168" s="503">
        <v>-100</v>
      </c>
      <c r="O168" s="451">
        <f>IF(ISBLANK(CkReg16_1815171521[[#This Row],[Withdrawal]]),O167+CkReg16_1815171521[[#This Row],[Deposit]],O167-CkReg16_1815171521[[#This Row],[Withdrawal]])</f>
        <v>1069.8000000000052</v>
      </c>
      <c r="P168" s="504">
        <v>44459</v>
      </c>
      <c r="Q168" s="451">
        <f>IF(ISBLANK(CkReg16_1815171521[[#This Row],[Withdrawal]]),Q167+CkReg16_1815171521[[#This Row],[Deposit]],Q167-CkReg16_1815171521[[#This Row],[Withdrawal]])</f>
        <v>9784.7999999999756</v>
      </c>
      <c r="R168" s="376">
        <v>1</v>
      </c>
    </row>
    <row r="169" spans="8:18" x14ac:dyDescent="0.3">
      <c r="H169" s="499">
        <v>3445</v>
      </c>
      <c r="I169" s="500">
        <v>44429</v>
      </c>
      <c r="J169" s="501" t="s">
        <v>1023</v>
      </c>
      <c r="K169" s="501" t="s">
        <v>530</v>
      </c>
      <c r="L169" s="501" t="s">
        <v>65</v>
      </c>
      <c r="M169" s="502">
        <v>50</v>
      </c>
      <c r="N169" s="503"/>
      <c r="O169" s="451">
        <f>IF(ISBLANK(CkReg16_1815171521[[#This Row],[Withdrawal]]),O168+CkReg16_1815171521[[#This Row],[Deposit]],O168-CkReg16_1815171521[[#This Row],[Withdrawal]])</f>
        <v>1019.8000000000052</v>
      </c>
      <c r="P169" s="504">
        <v>44440</v>
      </c>
      <c r="Q169" s="451">
        <f>IF(ISBLANK(CkReg16_1815171521[[#This Row],[Withdrawal]]),Q168+CkReg16_1815171521[[#This Row],[Deposit]],Q168-CkReg16_1815171521[[#This Row],[Withdrawal]])</f>
        <v>9734.7999999999756</v>
      </c>
      <c r="R169" s="376">
        <v>1</v>
      </c>
    </row>
    <row r="170" spans="8:18" x14ac:dyDescent="0.3">
      <c r="H170" s="499">
        <v>3448</v>
      </c>
      <c r="I170" s="500">
        <v>44429</v>
      </c>
      <c r="J170" s="285" t="s">
        <v>136</v>
      </c>
      <c r="K170" s="285" t="s">
        <v>1040</v>
      </c>
      <c r="L170" s="501" t="s">
        <v>68</v>
      </c>
      <c r="M170" s="502">
        <v>137.83000000000001</v>
      </c>
      <c r="N170" s="503"/>
      <c r="O170" s="451">
        <f>IF(ISBLANK(CkReg16_1815171521[[#This Row],[Withdrawal]]),O169+CkReg16_1815171521[[#This Row],[Deposit]],O169-CkReg16_1815171521[[#This Row],[Withdrawal]])</f>
        <v>881.97000000000514</v>
      </c>
      <c r="P170" s="504">
        <v>44432</v>
      </c>
      <c r="Q170" s="451">
        <f>IF(ISBLANK(CkReg16_1815171521[[#This Row],[Withdrawal]]),Q169+CkReg16_1815171521[[#This Row],[Deposit]],Q169-CkReg16_1815171521[[#This Row],[Withdrawal]])</f>
        <v>9596.9699999999757</v>
      </c>
      <c r="R170" s="376">
        <v>1</v>
      </c>
    </row>
    <row r="171" spans="8:18" x14ac:dyDescent="0.3">
      <c r="H171" s="499"/>
      <c r="I171" s="500">
        <v>44429</v>
      </c>
      <c r="J171" s="501" t="s">
        <v>1035</v>
      </c>
      <c r="K171" s="501" t="s">
        <v>1036</v>
      </c>
      <c r="L171" s="501" t="s">
        <v>44</v>
      </c>
      <c r="M171" s="502">
        <v>-150</v>
      </c>
      <c r="N171" s="503"/>
      <c r="O171" s="451">
        <f>IF(ISBLANK(CkReg16_1815171521[[#This Row],[Withdrawal]]),O170+CkReg16_1815171521[[#This Row],[Deposit]],O170-CkReg16_1815171521[[#This Row],[Withdrawal]])</f>
        <v>1031.9700000000053</v>
      </c>
      <c r="P171" s="504">
        <v>44439</v>
      </c>
      <c r="Q171" s="451">
        <f>IF(ISBLANK(CkReg16_1815171521[[#This Row],[Withdrawal]]),Q170+CkReg16_1815171521[[#This Row],[Deposit]],Q170-CkReg16_1815171521[[#This Row],[Withdrawal]])</f>
        <v>9746.9699999999757</v>
      </c>
      <c r="R171" s="376">
        <v>1</v>
      </c>
    </row>
    <row r="172" spans="8:18" x14ac:dyDescent="0.3">
      <c r="H172" s="499">
        <v>3446</v>
      </c>
      <c r="I172" s="500">
        <v>44429</v>
      </c>
      <c r="J172" s="501" t="s">
        <v>1039</v>
      </c>
      <c r="K172" s="501" t="s">
        <v>529</v>
      </c>
      <c r="L172" s="501" t="s">
        <v>64</v>
      </c>
      <c r="M172" s="502">
        <v>50</v>
      </c>
      <c r="N172" s="503"/>
      <c r="O172" s="451">
        <f>IF(ISBLANK(CkReg16_1815171521[[#This Row],[Withdrawal]]),O171+CkReg16_1815171521[[#This Row],[Deposit]],O171-CkReg16_1815171521[[#This Row],[Withdrawal]])</f>
        <v>981.97000000000526</v>
      </c>
      <c r="P172" s="504">
        <v>44454</v>
      </c>
      <c r="Q172" s="451">
        <f>IF(ISBLANK(CkReg16_1815171521[[#This Row],[Withdrawal]]),Q171+CkReg16_1815171521[[#This Row],[Deposit]],Q171-CkReg16_1815171521[[#This Row],[Withdrawal]])</f>
        <v>9696.9699999999757</v>
      </c>
      <c r="R172" s="504">
        <v>1</v>
      </c>
    </row>
    <row r="173" spans="8:18" x14ac:dyDescent="0.3">
      <c r="H173" s="499">
        <v>3449</v>
      </c>
      <c r="I173" s="500">
        <v>44429</v>
      </c>
      <c r="J173" s="285" t="s">
        <v>431</v>
      </c>
      <c r="K173" s="285" t="s">
        <v>1041</v>
      </c>
      <c r="L173" s="501" t="s">
        <v>68</v>
      </c>
      <c r="M173" s="502">
        <v>225</v>
      </c>
      <c r="N173" s="503"/>
      <c r="O173" s="451">
        <f>IF(ISBLANK(CkReg16_1815171521[[#This Row],[Withdrawal]]),O172+CkReg16_1815171521[[#This Row],[Deposit]],O172-CkReg16_1815171521[[#This Row],[Withdrawal]])</f>
        <v>756.97000000000526</v>
      </c>
      <c r="P173" s="504">
        <v>44454</v>
      </c>
      <c r="Q173" s="451">
        <f>IF(ISBLANK(CkReg16_1815171521[[#This Row],[Withdrawal]]),Q172+CkReg16_1815171521[[#This Row],[Deposit]],Q172-CkReg16_1815171521[[#This Row],[Withdrawal]])</f>
        <v>9471.9699999999757</v>
      </c>
      <c r="R173" s="504">
        <v>1</v>
      </c>
    </row>
    <row r="174" spans="8:18" x14ac:dyDescent="0.3">
      <c r="H174" s="499">
        <v>3447</v>
      </c>
      <c r="I174" s="500">
        <v>44429</v>
      </c>
      <c r="J174" s="501" t="s">
        <v>85</v>
      </c>
      <c r="K174" s="501" t="s">
        <v>1025</v>
      </c>
      <c r="L174" s="501" t="s">
        <v>39</v>
      </c>
      <c r="M174" s="502">
        <v>51.7</v>
      </c>
      <c r="N174" s="503"/>
      <c r="O174" s="451">
        <f>IF(ISBLANK(CkReg16_1815171521[[#This Row],[Withdrawal]]),O173+CkReg16_1815171521[[#This Row],[Deposit]],O173-CkReg16_1815171521[[#This Row],[Withdrawal]])</f>
        <v>705.27000000000521</v>
      </c>
      <c r="P174" s="504">
        <v>44469</v>
      </c>
      <c r="Q174" s="451">
        <f>IF(ISBLANK(CkReg16_1815171521[[#This Row],[Withdrawal]]),Q173+CkReg16_1815171521[[#This Row],[Deposit]],Q173-CkReg16_1815171521[[#This Row],[Withdrawal]])</f>
        <v>9420.269999999975</v>
      </c>
      <c r="R174" s="504">
        <v>1</v>
      </c>
    </row>
    <row r="175" spans="8:18" x14ac:dyDescent="0.3">
      <c r="H175" s="536"/>
      <c r="I175" s="537">
        <v>44431</v>
      </c>
      <c r="J175" s="538"/>
      <c r="K175" s="538"/>
      <c r="L175" s="538" t="s">
        <v>219</v>
      </c>
      <c r="M175" s="539"/>
      <c r="N175" s="540">
        <v>5</v>
      </c>
      <c r="O175" s="451">
        <f>IF(ISBLANK(CkReg16_1815171521[[#This Row],[Withdrawal]]),O174+CkReg16_1815171521[[#This Row],[Deposit]],O174-CkReg16_1815171521[[#This Row],[Withdrawal]])</f>
        <v>710.27000000000521</v>
      </c>
      <c r="P175" s="541">
        <v>44431</v>
      </c>
      <c r="Q175" s="451">
        <f>IF(ISBLANK(CkReg16_1815171521[[#This Row],[Withdrawal]]),Q174+CkReg16_1815171521[[#This Row],[Deposit]],Q174-CkReg16_1815171521[[#This Row],[Withdrawal]])</f>
        <v>9425.269999999975</v>
      </c>
      <c r="R175" s="504">
        <v>1</v>
      </c>
    </row>
    <row r="176" spans="8:18" x14ac:dyDescent="0.3">
      <c r="H176" s="536"/>
      <c r="I176" s="537">
        <v>44431</v>
      </c>
      <c r="J176" s="538"/>
      <c r="K176" s="538"/>
      <c r="L176" s="538" t="s">
        <v>219</v>
      </c>
      <c r="M176" s="539"/>
      <c r="N176" s="540">
        <v>-1.76</v>
      </c>
      <c r="O176" s="451">
        <f>IF(ISBLANK(CkReg16_1815171521[[#This Row],[Withdrawal]]),O175+CkReg16_1815171521[[#This Row],[Deposit]],O175-CkReg16_1815171521[[#This Row],[Withdrawal]])</f>
        <v>708.51000000000522</v>
      </c>
      <c r="P176" s="541">
        <v>44431</v>
      </c>
      <c r="Q176" s="451">
        <f>IF(ISBLANK(CkReg16_1815171521[[#This Row],[Withdrawal]]),Q175+CkReg16_1815171521[[#This Row],[Deposit]],Q175-CkReg16_1815171521[[#This Row],[Withdrawal]])</f>
        <v>9423.5099999999748</v>
      </c>
      <c r="R176" s="504">
        <v>1</v>
      </c>
    </row>
    <row r="177" spans="8:18" x14ac:dyDescent="0.3">
      <c r="H177" s="499"/>
      <c r="I177" s="500">
        <v>44439</v>
      </c>
      <c r="J177" s="501"/>
      <c r="K177" s="501" t="s">
        <v>1009</v>
      </c>
      <c r="L177" s="501" t="s">
        <v>91</v>
      </c>
      <c r="M177" s="502"/>
      <c r="N177" s="503">
        <v>7.0000000000000007E-2</v>
      </c>
      <c r="O177" s="451">
        <f>IF(ISBLANK(CkReg16_1815171521[[#This Row],[Withdrawal]]),O176+CkReg16_1815171521[[#This Row],[Deposit]],O176-CkReg16_1815171521[[#This Row],[Withdrawal]])</f>
        <v>708.58000000000527</v>
      </c>
      <c r="P177" s="504">
        <v>44439</v>
      </c>
      <c r="Q177" s="451">
        <f>IF(ISBLANK(CkReg16_1815171521[[#This Row],[Withdrawal]]),Q176+CkReg16_1815171521[[#This Row],[Deposit]],Q176-CkReg16_1815171521[[#This Row],[Withdrawal]])</f>
        <v>9423.5799999999745</v>
      </c>
      <c r="R177" s="504">
        <v>1</v>
      </c>
    </row>
    <row r="178" spans="8:18" x14ac:dyDescent="0.3">
      <c r="H178" s="499"/>
      <c r="I178" s="500">
        <v>44439</v>
      </c>
      <c r="J178" s="501"/>
      <c r="K178" s="501" t="s">
        <v>989</v>
      </c>
      <c r="L178" s="501" t="s">
        <v>946</v>
      </c>
      <c r="M178" s="502">
        <v>16.309999999999999</v>
      </c>
      <c r="N178" s="503"/>
      <c r="O178" s="451">
        <f>IF(ISBLANK(CkReg16_1815171521[[#This Row],[Withdrawal]]),O177+CkReg16_1815171521[[#This Row],[Deposit]],O177-CkReg16_1815171521[[#This Row],[Withdrawal]])</f>
        <v>692.27000000000533</v>
      </c>
      <c r="P178" s="504">
        <v>44439</v>
      </c>
      <c r="Q178" s="451">
        <f>IF(ISBLANK(CkReg16_1815171521[[#This Row],[Withdrawal]]),Q177+CkReg16_1815171521[[#This Row],[Deposit]],Q177-CkReg16_1815171521[[#This Row],[Withdrawal]])</f>
        <v>9407.269999999975</v>
      </c>
      <c r="R178" s="504">
        <v>1</v>
      </c>
    </row>
    <row r="179" spans="8:18" x14ac:dyDescent="0.3">
      <c r="H179" s="499"/>
      <c r="I179" s="500">
        <v>44439</v>
      </c>
      <c r="J179" s="501"/>
      <c r="K179" s="501" t="s">
        <v>984</v>
      </c>
      <c r="L179" s="501" t="s">
        <v>219</v>
      </c>
      <c r="M179" s="502"/>
      <c r="N179" s="503">
        <v>16.309999999999999</v>
      </c>
      <c r="O179" s="451">
        <f>IF(ISBLANK(CkReg16_1815171521[[#This Row],[Withdrawal]]),O178+CkReg16_1815171521[[#This Row],[Deposit]],O178-CkReg16_1815171521[[#This Row],[Withdrawal]])</f>
        <v>708.58000000000527</v>
      </c>
      <c r="P179" s="504">
        <v>44439</v>
      </c>
      <c r="Q179" s="451">
        <f>IF(ISBLANK(CkReg16_1815171521[[#This Row],[Withdrawal]]),Q178+CkReg16_1815171521[[#This Row],[Deposit]],Q178-CkReg16_1815171521[[#This Row],[Withdrawal]])</f>
        <v>9423.5799999999745</v>
      </c>
      <c r="R179" s="504">
        <v>44439</v>
      </c>
    </row>
    <row r="180" spans="8:18" x14ac:dyDescent="0.3">
      <c r="H180" s="499"/>
      <c r="I180" s="500">
        <v>44445</v>
      </c>
      <c r="J180" s="285" t="s">
        <v>1051</v>
      </c>
      <c r="K180" s="285" t="s">
        <v>1052</v>
      </c>
      <c r="L180" s="501" t="s">
        <v>66</v>
      </c>
      <c r="M180" s="568">
        <v>3551.72</v>
      </c>
      <c r="N180" s="503"/>
      <c r="O180" s="451">
        <f>IF(ISBLANK(CkReg16_1815171521[[#This Row],[Withdrawal]]),O179+CkReg16_1815171521[[#This Row],[Deposit]],O179-CkReg16_1815171521[[#This Row],[Withdrawal]])</f>
        <v>-2843.1399999999944</v>
      </c>
      <c r="P180" s="504">
        <v>44447</v>
      </c>
      <c r="Q180" s="451">
        <f>IF(ISBLANK(CkReg16_1815171521[[#This Row],[Withdrawal]]),Q179+CkReg16_1815171521[[#This Row],[Deposit]],Q179-CkReg16_1815171521[[#This Row],[Withdrawal]])</f>
        <v>5871.8599999999751</v>
      </c>
      <c r="R180" s="504">
        <v>1</v>
      </c>
    </row>
    <row r="181" spans="8:18" x14ac:dyDescent="0.3">
      <c r="H181" s="499">
        <v>3403</v>
      </c>
      <c r="I181" s="500">
        <v>44446</v>
      </c>
      <c r="J181" s="501" t="s">
        <v>1029</v>
      </c>
      <c r="K181" s="501" t="s">
        <v>67</v>
      </c>
      <c r="L181" s="501" t="s">
        <v>67</v>
      </c>
      <c r="M181" s="502">
        <v>2637.76</v>
      </c>
      <c r="N181" s="503"/>
      <c r="O181" s="451">
        <f>IF(ISBLANK(CkReg16_1815171521[[#This Row],[Withdrawal]]),O180+CkReg16_1815171521[[#This Row],[Deposit]],O180-CkReg16_1815171521[[#This Row],[Withdrawal]])</f>
        <v>-5480.8999999999942</v>
      </c>
      <c r="P181" s="504">
        <v>44448</v>
      </c>
      <c r="Q181" s="451">
        <f>IF(ISBLANK(CkReg16_1815171521[[#This Row],[Withdrawal]]),Q180+CkReg16_1815171521[[#This Row],[Deposit]],Q180-CkReg16_1815171521[[#This Row],[Withdrawal]])</f>
        <v>3234.0999999999749</v>
      </c>
      <c r="R181" s="504">
        <v>1</v>
      </c>
    </row>
    <row r="182" spans="8:18" x14ac:dyDescent="0.3">
      <c r="H182" s="499">
        <v>3402</v>
      </c>
      <c r="I182" s="500">
        <v>44446</v>
      </c>
      <c r="J182" s="285" t="s">
        <v>1024</v>
      </c>
      <c r="K182" s="285" t="s">
        <v>1076</v>
      </c>
      <c r="L182" s="501" t="s">
        <v>389</v>
      </c>
      <c r="M182" s="502">
        <v>41.75</v>
      </c>
      <c r="N182" s="503"/>
      <c r="O182" s="451">
        <f>IF(ISBLANK(CkReg16_1815171521[[#This Row],[Withdrawal]]),O181+CkReg16_1815171521[[#This Row],[Deposit]],O181-CkReg16_1815171521[[#This Row],[Withdrawal]])</f>
        <v>-5522.6499999999942</v>
      </c>
      <c r="P182" s="504">
        <v>44482</v>
      </c>
      <c r="Q182" s="451">
        <f>IF(ISBLANK(CkReg16_1815171521[[#This Row],[Withdrawal]]),Q181+CkReg16_1815171521[[#This Row],[Deposit]],Q181-CkReg16_1815171521[[#This Row],[Withdrawal]])</f>
        <v>3192.3499999999749</v>
      </c>
      <c r="R182" s="504">
        <v>1</v>
      </c>
    </row>
    <row r="183" spans="8:18" x14ac:dyDescent="0.3">
      <c r="H183" s="499"/>
      <c r="I183" s="500">
        <v>44449</v>
      </c>
      <c r="J183" s="501">
        <v>47386</v>
      </c>
      <c r="K183" s="285" t="s">
        <v>1047</v>
      </c>
      <c r="L183" s="501" t="s">
        <v>60</v>
      </c>
      <c r="M183" s="502"/>
      <c r="N183" s="503">
        <v>152</v>
      </c>
      <c r="O183" s="451">
        <f>IF(ISBLANK(CkReg16_1815171521[[#This Row],[Withdrawal]]),O182+CkReg16_1815171521[[#This Row],[Deposit]],O182-CkReg16_1815171521[[#This Row],[Withdrawal]])</f>
        <v>-5370.6499999999942</v>
      </c>
      <c r="P183" s="504">
        <v>44452</v>
      </c>
      <c r="Q183" s="451">
        <f>IF(ISBLANK(CkReg16_1815171521[[#This Row],[Withdrawal]]),Q182+CkReg16_1815171521[[#This Row],[Deposit]],Q182-CkReg16_1815171521[[#This Row],[Withdrawal]])</f>
        <v>3344.3499999999749</v>
      </c>
      <c r="R183" s="376">
        <v>1</v>
      </c>
    </row>
    <row r="184" spans="8:18" x14ac:dyDescent="0.3">
      <c r="H184" s="499"/>
      <c r="I184" s="500">
        <v>44449</v>
      </c>
      <c r="J184" s="501">
        <v>47387</v>
      </c>
      <c r="K184" s="501" t="s">
        <v>709</v>
      </c>
      <c r="L184" s="501" t="s">
        <v>60</v>
      </c>
      <c r="M184" s="502"/>
      <c r="N184" s="503">
        <v>290</v>
      </c>
      <c r="O184" s="451">
        <f>IF(ISBLANK(CkReg16_1815171521[[#This Row],[Withdrawal]]),O183+CkReg16_1815171521[[#This Row],[Deposit]],O183-CkReg16_1815171521[[#This Row],[Withdrawal]])</f>
        <v>-5080.6499999999942</v>
      </c>
      <c r="P184" s="504">
        <v>44452</v>
      </c>
      <c r="Q184" s="451">
        <f>IF(ISBLANK(CkReg16_1815171521[[#This Row],[Withdrawal]]),Q183+CkReg16_1815171521[[#This Row],[Deposit]],Q183-CkReg16_1815171521[[#This Row],[Withdrawal]])</f>
        <v>3634.3499999999749</v>
      </c>
      <c r="R184" s="376">
        <v>1</v>
      </c>
    </row>
    <row r="185" spans="8:18" x14ac:dyDescent="0.3">
      <c r="H185" s="499"/>
      <c r="I185" s="500">
        <v>44449</v>
      </c>
      <c r="J185" s="501">
        <v>47384</v>
      </c>
      <c r="K185" s="501" t="s">
        <v>709</v>
      </c>
      <c r="L185" s="501" t="s">
        <v>60</v>
      </c>
      <c r="M185" s="502"/>
      <c r="N185" s="503">
        <v>480</v>
      </c>
      <c r="O185" s="451">
        <f>IF(ISBLANK(CkReg16_1815171521[[#This Row],[Withdrawal]]),O184+CkReg16_1815171521[[#This Row],[Deposit]],O184-CkReg16_1815171521[[#This Row],[Withdrawal]])</f>
        <v>-4600.6499999999942</v>
      </c>
      <c r="P185" s="504">
        <v>44452</v>
      </c>
      <c r="Q185" s="451">
        <f>IF(ISBLANK(CkReg16_1815171521[[#This Row],[Withdrawal]]),Q184+CkReg16_1815171521[[#This Row],[Deposit]],Q184-CkReg16_1815171521[[#This Row],[Withdrawal]])</f>
        <v>4114.3499999999749</v>
      </c>
      <c r="R185" s="376">
        <v>1</v>
      </c>
    </row>
    <row r="186" spans="8:18" x14ac:dyDescent="0.3">
      <c r="H186" s="499"/>
      <c r="I186" s="500">
        <v>44449</v>
      </c>
      <c r="J186" s="501">
        <v>47388</v>
      </c>
      <c r="K186" s="285" t="s">
        <v>1047</v>
      </c>
      <c r="L186" s="501" t="s">
        <v>61</v>
      </c>
      <c r="M186" s="502"/>
      <c r="N186" s="503">
        <v>680</v>
      </c>
      <c r="O186" s="451">
        <f>IF(ISBLANK(CkReg16_1815171521[[#This Row],[Withdrawal]]),O185+CkReg16_1815171521[[#This Row],[Deposit]],O185-CkReg16_1815171521[[#This Row],[Withdrawal]])</f>
        <v>-3920.6499999999942</v>
      </c>
      <c r="P186" s="504">
        <v>44452</v>
      </c>
      <c r="Q186" s="451">
        <f>IF(ISBLANK(CkReg16_1815171521[[#This Row],[Withdrawal]]),Q185+CkReg16_1815171521[[#This Row],[Deposit]],Q185-CkReg16_1815171521[[#This Row],[Withdrawal]])</f>
        <v>4794.3499999999749</v>
      </c>
      <c r="R186" s="376">
        <v>1</v>
      </c>
    </row>
    <row r="187" spans="8:18" x14ac:dyDescent="0.3">
      <c r="H187" s="499"/>
      <c r="I187" s="500">
        <v>44449</v>
      </c>
      <c r="J187" s="501">
        <v>47383</v>
      </c>
      <c r="K187" s="285" t="s">
        <v>1046</v>
      </c>
      <c r="L187" s="501" t="s">
        <v>60</v>
      </c>
      <c r="M187" s="502"/>
      <c r="N187" s="503">
        <v>815</v>
      </c>
      <c r="O187" s="451">
        <f>IF(ISBLANK(CkReg16_1815171521[[#This Row],[Withdrawal]]),O186+CkReg16_1815171521[[#This Row],[Deposit]],O186-CkReg16_1815171521[[#This Row],[Withdrawal]])</f>
        <v>-3105.6499999999942</v>
      </c>
      <c r="P187" s="504">
        <v>44452</v>
      </c>
      <c r="Q187" s="451">
        <f>IF(ISBLANK(CkReg16_1815171521[[#This Row],[Withdrawal]]),Q186+CkReg16_1815171521[[#This Row],[Deposit]],Q186-CkReg16_1815171521[[#This Row],[Withdrawal]])</f>
        <v>5609.3499999999749</v>
      </c>
      <c r="R187" s="504">
        <v>1</v>
      </c>
    </row>
    <row r="188" spans="8:18" x14ac:dyDescent="0.3">
      <c r="H188" s="499"/>
      <c r="I188" s="500">
        <v>44449</v>
      </c>
      <c r="J188" s="501">
        <v>47385</v>
      </c>
      <c r="K188" s="285" t="s">
        <v>1046</v>
      </c>
      <c r="L188" s="501" t="s">
        <v>61</v>
      </c>
      <c r="M188" s="502"/>
      <c r="N188" s="503">
        <v>2345</v>
      </c>
      <c r="O188" s="451">
        <f>IF(ISBLANK(CkReg16_1815171521[[#This Row],[Withdrawal]]),O187+CkReg16_1815171521[[#This Row],[Deposit]],O187-CkReg16_1815171521[[#This Row],[Withdrawal]])</f>
        <v>-760.64999999999418</v>
      </c>
      <c r="P188" s="504">
        <v>44452</v>
      </c>
      <c r="Q188" s="451">
        <f>IF(ISBLANK(CkReg16_1815171521[[#This Row],[Withdrawal]]),Q187+CkReg16_1815171521[[#This Row],[Deposit]],Q187-CkReg16_1815171521[[#This Row],[Withdrawal]])</f>
        <v>7954.3499999999749</v>
      </c>
      <c r="R188" s="504">
        <v>1</v>
      </c>
    </row>
    <row r="189" spans="8:18" x14ac:dyDescent="0.3">
      <c r="H189" s="499"/>
      <c r="I189" s="500">
        <v>44450</v>
      </c>
      <c r="J189" s="501">
        <v>47395</v>
      </c>
      <c r="K189" s="501" t="s">
        <v>1045</v>
      </c>
      <c r="L189" s="501" t="s">
        <v>61</v>
      </c>
      <c r="M189" s="502"/>
      <c r="N189" s="503">
        <v>100</v>
      </c>
      <c r="O189" s="451">
        <f>IF(ISBLANK(CkReg16_1815171521[[#This Row],[Withdrawal]]),O188+CkReg16_1815171521[[#This Row],[Deposit]],O188-CkReg16_1815171521[[#This Row],[Withdrawal]])</f>
        <v>-660.64999999999418</v>
      </c>
      <c r="P189" s="504">
        <v>44452</v>
      </c>
      <c r="Q189" s="451">
        <f>IF(ISBLANK(CkReg16_1815171521[[#This Row],[Withdrawal]]),Q188+CkReg16_1815171521[[#This Row],[Deposit]],Q188-CkReg16_1815171521[[#This Row],[Withdrawal]])</f>
        <v>8054.3499999999749</v>
      </c>
      <c r="R189" s="504">
        <v>1</v>
      </c>
    </row>
    <row r="190" spans="8:18" x14ac:dyDescent="0.3">
      <c r="H190" s="499"/>
      <c r="I190" s="500">
        <v>44450</v>
      </c>
      <c r="J190" s="501">
        <v>47397</v>
      </c>
      <c r="K190" s="501" t="s">
        <v>709</v>
      </c>
      <c r="L190" s="501" t="s">
        <v>60</v>
      </c>
      <c r="M190" s="502"/>
      <c r="N190" s="503">
        <v>163</v>
      </c>
      <c r="O190" s="451">
        <f>IF(ISBLANK(CkReg16_1815171521[[#This Row],[Withdrawal]]),O189+CkReg16_1815171521[[#This Row],[Deposit]],O189-CkReg16_1815171521[[#This Row],[Withdrawal]])</f>
        <v>-497.64999999999418</v>
      </c>
      <c r="P190" s="504">
        <v>44452</v>
      </c>
      <c r="Q190" s="451">
        <f>IF(ISBLANK(CkReg16_1815171521[[#This Row],[Withdrawal]]),Q189+CkReg16_1815171521[[#This Row],[Deposit]],Q189-CkReg16_1815171521[[#This Row],[Withdrawal]])</f>
        <v>8217.3499999999749</v>
      </c>
      <c r="R190" s="504">
        <v>1</v>
      </c>
    </row>
    <row r="191" spans="8:18" x14ac:dyDescent="0.3">
      <c r="H191" s="499"/>
      <c r="I191" s="500">
        <v>44450</v>
      </c>
      <c r="J191" s="501">
        <v>47394</v>
      </c>
      <c r="K191" s="285" t="s">
        <v>1049</v>
      </c>
      <c r="L191" s="501" t="s">
        <v>60</v>
      </c>
      <c r="M191" s="502"/>
      <c r="N191" s="503">
        <v>165</v>
      </c>
      <c r="O191" s="451">
        <f>IF(ISBLANK(CkReg16_1815171521[[#This Row],[Withdrawal]]),O190+CkReg16_1815171521[[#This Row],[Deposit]],O190-CkReg16_1815171521[[#This Row],[Withdrawal]])</f>
        <v>-332.64999999999418</v>
      </c>
      <c r="P191" s="504">
        <v>44452</v>
      </c>
      <c r="Q191" s="451">
        <f>IF(ISBLANK(CkReg16_1815171521[[#This Row],[Withdrawal]]),Q190+CkReg16_1815171521[[#This Row],[Deposit]],Q190-CkReg16_1815171521[[#This Row],[Withdrawal]])</f>
        <v>8382.3499999999749</v>
      </c>
      <c r="R191" s="504">
        <v>1</v>
      </c>
    </row>
    <row r="192" spans="8:18" x14ac:dyDescent="0.3">
      <c r="H192" s="499"/>
      <c r="I192" s="500">
        <v>44450</v>
      </c>
      <c r="J192" s="501">
        <v>47392</v>
      </c>
      <c r="K192" s="285" t="s">
        <v>1048</v>
      </c>
      <c r="L192" s="501" t="s">
        <v>60</v>
      </c>
      <c r="M192" s="502"/>
      <c r="N192" s="503">
        <v>300</v>
      </c>
      <c r="O192" s="451">
        <f>IF(ISBLANK(CkReg16_1815171521[[#This Row],[Withdrawal]]),O191+CkReg16_1815171521[[#This Row],[Deposit]],O191-CkReg16_1815171521[[#This Row],[Withdrawal]])</f>
        <v>-32.649999999994179</v>
      </c>
      <c r="P192" s="504">
        <v>44452</v>
      </c>
      <c r="Q192" s="451">
        <f>IF(ISBLANK(CkReg16_1815171521[[#This Row],[Withdrawal]]),Q191+CkReg16_1815171521[[#This Row],[Deposit]],Q191-CkReg16_1815171521[[#This Row],[Withdrawal]])</f>
        <v>8682.3499999999749</v>
      </c>
      <c r="R192" s="504">
        <v>1</v>
      </c>
    </row>
    <row r="193" spans="8:18" x14ac:dyDescent="0.3">
      <c r="H193" s="499"/>
      <c r="I193" s="500">
        <v>44450</v>
      </c>
      <c r="J193" s="501">
        <v>47391</v>
      </c>
      <c r="K193" s="501" t="s">
        <v>709</v>
      </c>
      <c r="L193" s="501" t="s">
        <v>60</v>
      </c>
      <c r="M193" s="502"/>
      <c r="N193" s="503">
        <v>339</v>
      </c>
      <c r="O193" s="451">
        <f>IF(ISBLANK(CkReg16_1815171521[[#This Row],[Withdrawal]]),O192+CkReg16_1815171521[[#This Row],[Deposit]],O192-CkReg16_1815171521[[#This Row],[Withdrawal]])</f>
        <v>306.35000000000582</v>
      </c>
      <c r="P193" s="504">
        <v>44452</v>
      </c>
      <c r="Q193" s="451">
        <f>IF(ISBLANK(CkReg16_1815171521[[#This Row],[Withdrawal]]),Q192+CkReg16_1815171521[[#This Row],[Deposit]],Q192-CkReg16_1815171521[[#This Row],[Withdrawal]])</f>
        <v>9021.3499999999749</v>
      </c>
      <c r="R193" s="504">
        <v>1</v>
      </c>
    </row>
    <row r="194" spans="8:18" x14ac:dyDescent="0.3">
      <c r="H194" s="499"/>
      <c r="I194" s="500">
        <v>44450</v>
      </c>
      <c r="J194" s="501">
        <v>47389</v>
      </c>
      <c r="K194" s="285" t="s">
        <v>1048</v>
      </c>
      <c r="L194" s="501" t="s">
        <v>61</v>
      </c>
      <c r="M194" s="502"/>
      <c r="N194" s="503">
        <v>350</v>
      </c>
      <c r="O194" s="451">
        <f>IF(ISBLANK(CkReg16_1815171521[[#This Row],[Withdrawal]]),O193+CkReg16_1815171521[[#This Row],[Deposit]],O193-CkReg16_1815171521[[#This Row],[Withdrawal]])</f>
        <v>656.35000000000582</v>
      </c>
      <c r="P194" s="504">
        <v>44452</v>
      </c>
      <c r="Q194" s="451">
        <f>IF(ISBLANK(CkReg16_1815171521[[#This Row],[Withdrawal]]),Q193+CkReg16_1815171521[[#This Row],[Deposit]],Q193-CkReg16_1815171521[[#This Row],[Withdrawal]])</f>
        <v>9371.3499999999749</v>
      </c>
      <c r="R194" s="504">
        <v>1</v>
      </c>
    </row>
    <row r="195" spans="8:18" x14ac:dyDescent="0.3">
      <c r="H195" s="499"/>
      <c r="I195" s="500">
        <v>44450</v>
      </c>
      <c r="J195" s="501">
        <v>47393</v>
      </c>
      <c r="K195" s="501" t="s">
        <v>709</v>
      </c>
      <c r="L195" s="501" t="s">
        <v>60</v>
      </c>
      <c r="M195" s="502"/>
      <c r="N195" s="503">
        <v>464</v>
      </c>
      <c r="O195" s="451">
        <f>IF(ISBLANK(CkReg16_1815171521[[#This Row],[Withdrawal]]),O194+CkReg16_1815171521[[#This Row],[Deposit]],O194-CkReg16_1815171521[[#This Row],[Withdrawal]])</f>
        <v>1120.3500000000058</v>
      </c>
      <c r="P195" s="504">
        <v>44452</v>
      </c>
      <c r="Q195" s="451">
        <f>IF(ISBLANK(CkReg16_1815171521[[#This Row],[Withdrawal]]),Q194+CkReg16_1815171521[[#This Row],[Deposit]],Q194-CkReg16_1815171521[[#This Row],[Withdrawal]])</f>
        <v>9835.3499999999749</v>
      </c>
      <c r="R195" s="504">
        <v>1</v>
      </c>
    </row>
    <row r="196" spans="8:18" x14ac:dyDescent="0.3">
      <c r="H196" s="499"/>
      <c r="I196" s="500">
        <v>44450</v>
      </c>
      <c r="J196" s="501">
        <v>47396</v>
      </c>
      <c r="K196" s="285" t="s">
        <v>1046</v>
      </c>
      <c r="L196" s="501" t="s">
        <v>61</v>
      </c>
      <c r="M196" s="502"/>
      <c r="N196" s="503">
        <v>765</v>
      </c>
      <c r="O196" s="451">
        <f>IF(ISBLANK(CkReg16_1815171521[[#This Row],[Withdrawal]]),O195+CkReg16_1815171521[[#This Row],[Deposit]],O195-CkReg16_1815171521[[#This Row],[Withdrawal]])</f>
        <v>1885.3500000000058</v>
      </c>
      <c r="P196" s="504">
        <v>44452</v>
      </c>
      <c r="Q196" s="451">
        <f>IF(ISBLANK(CkReg16_1815171521[[#This Row],[Withdrawal]]),Q195+CkReg16_1815171521[[#This Row],[Deposit]],Q195-CkReg16_1815171521[[#This Row],[Withdrawal]])</f>
        <v>10600.349999999975</v>
      </c>
      <c r="R196" s="504">
        <v>1</v>
      </c>
    </row>
    <row r="197" spans="8:18" x14ac:dyDescent="0.3">
      <c r="H197" s="499"/>
      <c r="I197" s="500">
        <v>44451</v>
      </c>
      <c r="J197" s="501">
        <v>428748</v>
      </c>
      <c r="K197" s="501" t="s">
        <v>505</v>
      </c>
      <c r="L197" s="501" t="s">
        <v>60</v>
      </c>
      <c r="M197" s="502"/>
      <c r="N197" s="503">
        <v>75</v>
      </c>
      <c r="O197" s="451">
        <f>IF(ISBLANK(CkReg16_1815171521[[#This Row],[Withdrawal]]),O196+CkReg16_1815171521[[#This Row],[Deposit]],O196-CkReg16_1815171521[[#This Row],[Withdrawal]])</f>
        <v>1960.3500000000058</v>
      </c>
      <c r="P197" s="504">
        <v>44452</v>
      </c>
      <c r="Q197" s="451">
        <f>IF(ISBLANK(CkReg16_1815171521[[#This Row],[Withdrawal]]),Q196+CkReg16_1815171521[[#This Row],[Deposit]],Q196-CkReg16_1815171521[[#This Row],[Withdrawal]])</f>
        <v>10675.349999999975</v>
      </c>
      <c r="R197" s="376">
        <v>1</v>
      </c>
    </row>
    <row r="198" spans="8:18" x14ac:dyDescent="0.3">
      <c r="H198" s="499"/>
      <c r="I198" s="500">
        <v>44451</v>
      </c>
      <c r="J198" s="501">
        <v>428749</v>
      </c>
      <c r="K198" s="501" t="s">
        <v>1045</v>
      </c>
      <c r="L198" s="501" t="s">
        <v>60</v>
      </c>
      <c r="M198" s="502"/>
      <c r="N198" s="503">
        <v>100</v>
      </c>
      <c r="O198" s="451">
        <f>IF(ISBLANK(CkReg16_1815171521[[#This Row],[Withdrawal]]),O197+CkReg16_1815171521[[#This Row],[Deposit]],O197-CkReg16_1815171521[[#This Row],[Withdrawal]])</f>
        <v>2060.3500000000058</v>
      </c>
      <c r="P198" s="504">
        <v>44452</v>
      </c>
      <c r="Q198" s="451">
        <f>IF(ISBLANK(CkReg16_1815171521[[#This Row],[Withdrawal]]),Q197+CkReg16_1815171521[[#This Row],[Deposit]],Q197-CkReg16_1815171521[[#This Row],[Withdrawal]])</f>
        <v>10775.349999999975</v>
      </c>
      <c r="R198" s="376">
        <v>1</v>
      </c>
    </row>
    <row r="199" spans="8:18" x14ac:dyDescent="0.3">
      <c r="H199" s="499"/>
      <c r="I199" s="500">
        <v>44451</v>
      </c>
      <c r="J199" s="501">
        <v>428750</v>
      </c>
      <c r="K199" s="285" t="s">
        <v>1048</v>
      </c>
      <c r="L199" s="501" t="s">
        <v>60</v>
      </c>
      <c r="M199" s="502"/>
      <c r="N199" s="503">
        <v>130</v>
      </c>
      <c r="O199" s="451">
        <f>IF(ISBLANK(CkReg16_1815171521[[#This Row],[Withdrawal]]),O198+CkReg16_1815171521[[#This Row],[Deposit]],O198-CkReg16_1815171521[[#This Row],[Withdrawal]])</f>
        <v>2190.3500000000058</v>
      </c>
      <c r="P199" s="504">
        <v>44452</v>
      </c>
      <c r="Q199" s="451">
        <f>IF(ISBLANK(CkReg16_1815171521[[#This Row],[Withdrawal]]),Q198+CkReg16_1815171521[[#This Row],[Deposit]],Q198-CkReg16_1815171521[[#This Row],[Withdrawal]])</f>
        <v>10905.349999999975</v>
      </c>
      <c r="R199" s="376">
        <v>1</v>
      </c>
    </row>
    <row r="200" spans="8:18" x14ac:dyDescent="0.3">
      <c r="H200" s="499"/>
      <c r="I200" s="500">
        <v>44451</v>
      </c>
      <c r="J200" s="501">
        <v>428750</v>
      </c>
      <c r="K200" s="285" t="s">
        <v>709</v>
      </c>
      <c r="L200" s="501" t="s">
        <v>60</v>
      </c>
      <c r="M200" s="502"/>
      <c r="N200" s="503">
        <v>180</v>
      </c>
      <c r="O200" s="451">
        <f>IF(ISBLANK(CkReg16_1815171521[[#This Row],[Withdrawal]]),O199+CkReg16_1815171521[[#This Row],[Deposit]],O199-CkReg16_1815171521[[#This Row],[Withdrawal]])</f>
        <v>2370.3500000000058</v>
      </c>
      <c r="P200" s="504">
        <v>44452</v>
      </c>
      <c r="Q200" s="451">
        <f>IF(ISBLANK(CkReg16_1815171521[[#This Row],[Withdrawal]]),Q199+CkReg16_1815171521[[#This Row],[Deposit]],Q199-CkReg16_1815171521[[#This Row],[Withdrawal]])</f>
        <v>11085.349999999975</v>
      </c>
      <c r="R200" s="376">
        <v>1</v>
      </c>
    </row>
    <row r="201" spans="8:18" x14ac:dyDescent="0.3">
      <c r="H201" s="499"/>
      <c r="I201" s="500">
        <v>44451</v>
      </c>
      <c r="J201" s="501">
        <v>47398</v>
      </c>
      <c r="K201" s="501" t="s">
        <v>505</v>
      </c>
      <c r="L201" s="501" t="s">
        <v>60</v>
      </c>
      <c r="M201" s="502"/>
      <c r="N201" s="503">
        <v>380</v>
      </c>
      <c r="O201" s="451">
        <f>IF(ISBLANK(CkReg16_1815171521[[#This Row],[Withdrawal]]),O200+CkReg16_1815171521[[#This Row],[Deposit]],O200-CkReg16_1815171521[[#This Row],[Withdrawal]])</f>
        <v>2750.3500000000058</v>
      </c>
      <c r="P201" s="504">
        <v>44452</v>
      </c>
      <c r="Q201" s="451">
        <f>IF(ISBLANK(CkReg16_1815171521[[#This Row],[Withdrawal]]),Q200+CkReg16_1815171521[[#This Row],[Deposit]],Q200-CkReg16_1815171521[[#This Row],[Withdrawal]])</f>
        <v>11465.349999999975</v>
      </c>
      <c r="R201" s="504">
        <v>1</v>
      </c>
    </row>
    <row r="202" spans="8:18" x14ac:dyDescent="0.3">
      <c r="H202" s="499">
        <v>3404</v>
      </c>
      <c r="I202" s="500">
        <v>44451</v>
      </c>
      <c r="J202" s="501" t="s">
        <v>1043</v>
      </c>
      <c r="K202" s="285" t="s">
        <v>1072</v>
      </c>
      <c r="L202" s="501" t="s">
        <v>66</v>
      </c>
      <c r="M202" s="502">
        <f>78.6-23.94</f>
        <v>54.66</v>
      </c>
      <c r="N202" s="503"/>
      <c r="O202" s="451">
        <f>IF(ISBLANK(CkReg16_1815171521[[#This Row],[Withdrawal]]),O201+CkReg16_1815171521[[#This Row],[Deposit]],O201-CkReg16_1815171521[[#This Row],[Withdrawal]])</f>
        <v>2695.690000000006</v>
      </c>
      <c r="P202" s="504">
        <v>44452</v>
      </c>
      <c r="Q202" s="451">
        <f>IF(ISBLANK(CkReg16_1815171521[[#This Row],[Withdrawal]]),Q201+CkReg16_1815171521[[#This Row],[Deposit]],Q201-CkReg16_1815171521[[#This Row],[Withdrawal]])</f>
        <v>11410.689999999975</v>
      </c>
      <c r="R202" s="504">
        <v>1</v>
      </c>
    </row>
    <row r="203" spans="8:18" x14ac:dyDescent="0.3">
      <c r="H203" s="499">
        <v>3404</v>
      </c>
      <c r="I203" s="500">
        <v>44451</v>
      </c>
      <c r="J203" s="501" t="s">
        <v>1043</v>
      </c>
      <c r="K203" s="285" t="s">
        <v>1071</v>
      </c>
      <c r="L203" s="285" t="s">
        <v>67</v>
      </c>
      <c r="M203" s="446">
        <v>23.94</v>
      </c>
      <c r="N203" s="496"/>
      <c r="O203" s="451">
        <f>IF(ISBLANK(CkReg16_1815171521[[#This Row],[Withdrawal]]),O202+CkReg16_1815171521[[#This Row],[Deposit]],O202-CkReg16_1815171521[[#This Row],[Withdrawal]])</f>
        <v>2671.7500000000059</v>
      </c>
      <c r="P203" s="376">
        <v>44452</v>
      </c>
      <c r="Q203" s="451">
        <f>IF(ISBLANK(CkReg16_1815171521[[#This Row],[Withdrawal]]),Q202+CkReg16_1815171521[[#This Row],[Deposit]],Q202-CkReg16_1815171521[[#This Row],[Withdrawal]])</f>
        <v>11386.749999999975</v>
      </c>
      <c r="R203" s="504">
        <v>1</v>
      </c>
    </row>
    <row r="204" spans="8:18" x14ac:dyDescent="0.3">
      <c r="H204" s="499">
        <v>3405</v>
      </c>
      <c r="I204" s="500">
        <v>44451</v>
      </c>
      <c r="J204" s="501" t="s">
        <v>128</v>
      </c>
      <c r="K204" s="501" t="s">
        <v>66</v>
      </c>
      <c r="L204" s="501" t="s">
        <v>66</v>
      </c>
      <c r="M204" s="502">
        <v>545.9</v>
      </c>
      <c r="N204" s="503"/>
      <c r="O204" s="451">
        <f>IF(ISBLANK(CkReg16_1815171521[[#This Row],[Withdrawal]]),O203+CkReg16_1815171521[[#This Row],[Deposit]],O203-CkReg16_1815171521[[#This Row],[Withdrawal]])</f>
        <v>2125.8500000000058</v>
      </c>
      <c r="P204" s="504">
        <v>44453</v>
      </c>
      <c r="Q204" s="451">
        <f>IF(ISBLANK(CkReg16_1815171521[[#This Row],[Withdrawal]]),Q203+CkReg16_1815171521[[#This Row],[Deposit]],Q203-CkReg16_1815171521[[#This Row],[Withdrawal]])</f>
        <v>10840.849999999975</v>
      </c>
      <c r="R204" s="504">
        <v>1</v>
      </c>
    </row>
    <row r="205" spans="8:18" x14ac:dyDescent="0.3">
      <c r="H205" s="499">
        <v>3406</v>
      </c>
      <c r="I205" s="500">
        <v>44451</v>
      </c>
      <c r="J205" s="501" t="s">
        <v>84</v>
      </c>
      <c r="K205" s="501" t="s">
        <v>1044</v>
      </c>
      <c r="L205" s="501" t="s">
        <v>68</v>
      </c>
      <c r="M205" s="502">
        <v>70.849999999999994</v>
      </c>
      <c r="N205" s="503"/>
      <c r="O205" s="451">
        <f>IF(ISBLANK(CkReg16_1815171521[[#This Row],[Withdrawal]]),O204+CkReg16_1815171521[[#This Row],[Deposit]],O204-CkReg16_1815171521[[#This Row],[Withdrawal]])</f>
        <v>2055.0000000000059</v>
      </c>
      <c r="P205" s="504">
        <v>44455</v>
      </c>
      <c r="Q205" s="451">
        <f>IF(ISBLANK(CkReg16_1815171521[[#This Row],[Withdrawal]]),Q204+CkReg16_1815171521[[#This Row],[Deposit]],Q204-CkReg16_1815171521[[#This Row],[Withdrawal]])</f>
        <v>10769.999999999975</v>
      </c>
      <c r="R205" s="504">
        <v>1</v>
      </c>
    </row>
    <row r="206" spans="8:18" x14ac:dyDescent="0.3">
      <c r="H206" s="499">
        <v>3407</v>
      </c>
      <c r="I206" s="500">
        <v>44451</v>
      </c>
      <c r="J206" s="501" t="s">
        <v>136</v>
      </c>
      <c r="K206" s="501" t="s">
        <v>1044</v>
      </c>
      <c r="L206" s="501" t="s">
        <v>68</v>
      </c>
      <c r="M206" s="502">
        <v>25.62</v>
      </c>
      <c r="N206" s="503"/>
      <c r="O206" s="451">
        <f>IF(ISBLANK(CkReg16_1815171521[[#This Row],[Withdrawal]]),O205+CkReg16_1815171521[[#This Row],[Deposit]],O205-CkReg16_1815171521[[#This Row],[Withdrawal]])</f>
        <v>2029.380000000006</v>
      </c>
      <c r="P206" s="504">
        <v>44459</v>
      </c>
      <c r="Q206" s="451">
        <f>IF(ISBLANK(CkReg16_1815171521[[#This Row],[Withdrawal]]),Q205+CkReg16_1815171521[[#This Row],[Deposit]],Q205-CkReg16_1815171521[[#This Row],[Withdrawal]])</f>
        <v>10744.379999999974</v>
      </c>
      <c r="R206" s="504">
        <v>1</v>
      </c>
    </row>
    <row r="207" spans="8:18" x14ac:dyDescent="0.3">
      <c r="H207" s="499"/>
      <c r="I207" s="500">
        <v>44452</v>
      </c>
      <c r="J207" s="285" t="s">
        <v>1078</v>
      </c>
      <c r="K207" s="285" t="s">
        <v>1053</v>
      </c>
      <c r="L207" s="285" t="s">
        <v>61</v>
      </c>
      <c r="M207" s="502"/>
      <c r="N207" s="503">
        <v>3609.5</v>
      </c>
      <c r="O207" s="451">
        <f>IF(ISBLANK(CkReg16_1815171521[[#This Row],[Withdrawal]]),O206+CkReg16_1815171521[[#This Row],[Deposit]],O206-CkReg16_1815171521[[#This Row],[Withdrawal]])</f>
        <v>5638.8800000000065</v>
      </c>
      <c r="P207" s="504">
        <v>44452</v>
      </c>
      <c r="Q207" s="451">
        <f>IF(ISBLANK(CkReg16_1815171521[[#This Row],[Withdrawal]]),Q206+CkReg16_1815171521[[#This Row],[Deposit]],Q206-CkReg16_1815171521[[#This Row],[Withdrawal]])</f>
        <v>14353.879999999974</v>
      </c>
      <c r="R207" s="504">
        <v>1</v>
      </c>
    </row>
    <row r="208" spans="8:18" x14ac:dyDescent="0.3">
      <c r="H208" s="499"/>
      <c r="I208" s="500">
        <v>44452</v>
      </c>
      <c r="J208" s="285" t="s">
        <v>1078</v>
      </c>
      <c r="K208" s="285" t="s">
        <v>1053</v>
      </c>
      <c r="L208" s="285" t="s">
        <v>60</v>
      </c>
      <c r="M208" s="502"/>
      <c r="N208" s="503">
        <v>5412</v>
      </c>
      <c r="O208" s="451">
        <f>IF(ISBLANK(CkReg16_1815171521[[#This Row],[Withdrawal]]),O207+CkReg16_1815171521[[#This Row],[Deposit]],O207-CkReg16_1815171521[[#This Row],[Withdrawal]])</f>
        <v>11050.880000000006</v>
      </c>
      <c r="P208" s="504">
        <v>44452</v>
      </c>
      <c r="Q208" s="451">
        <f>IF(ISBLANK(CkReg16_1815171521[[#This Row],[Withdrawal]]),Q207+CkReg16_1815171521[[#This Row],[Deposit]],Q207-CkReg16_1815171521[[#This Row],[Withdrawal]])</f>
        <v>19765.879999999976</v>
      </c>
      <c r="R208" s="504">
        <v>1</v>
      </c>
    </row>
    <row r="209" spans="8:20" x14ac:dyDescent="0.3">
      <c r="H209" s="499"/>
      <c r="I209" s="500">
        <v>44452</v>
      </c>
      <c r="J209" s="285" t="s">
        <v>1078</v>
      </c>
      <c r="K209" s="285" t="s">
        <v>358</v>
      </c>
      <c r="L209" s="285" t="s">
        <v>918</v>
      </c>
      <c r="M209" s="446">
        <v>159.63</v>
      </c>
      <c r="N209" s="503"/>
      <c r="O209" s="451">
        <f>IF(ISBLANK(CkReg16_1815171521[[#This Row],[Withdrawal]]),O208+CkReg16_1815171521[[#This Row],[Deposit]],O208-CkReg16_1815171521[[#This Row],[Withdrawal]])</f>
        <v>10891.250000000007</v>
      </c>
      <c r="P209" s="504">
        <v>44452</v>
      </c>
      <c r="Q209" s="451">
        <f>IF(ISBLANK(CkReg16_1815171521[[#This Row],[Withdrawal]]),Q208+CkReg16_1815171521[[#This Row],[Deposit]],Q208-CkReg16_1815171521[[#This Row],[Withdrawal]])</f>
        <v>19606.249999999975</v>
      </c>
      <c r="R209" s="504">
        <v>1</v>
      </c>
    </row>
    <row r="210" spans="8:20" x14ac:dyDescent="0.3">
      <c r="H210" s="499"/>
      <c r="I210" s="500">
        <v>44452</v>
      </c>
      <c r="J210" s="285" t="s">
        <v>1078</v>
      </c>
      <c r="K210" s="285" t="s">
        <v>358</v>
      </c>
      <c r="L210" s="285" t="s">
        <v>919</v>
      </c>
      <c r="M210" s="446">
        <v>105.8</v>
      </c>
      <c r="N210" s="503"/>
      <c r="O210" s="451">
        <f>IF(ISBLANK(CkReg16_1815171521[[#This Row],[Withdrawal]]),O209+CkReg16_1815171521[[#This Row],[Deposit]],O209-CkReg16_1815171521[[#This Row],[Withdrawal]])</f>
        <v>10785.450000000008</v>
      </c>
      <c r="P210" s="504">
        <v>44452</v>
      </c>
      <c r="Q210" s="451">
        <f>IF(ISBLANK(CkReg16_1815171521[[#This Row],[Withdrawal]]),Q209+CkReg16_1815171521[[#This Row],[Deposit]],Q209-CkReg16_1815171521[[#This Row],[Withdrawal]])</f>
        <v>19500.449999999975</v>
      </c>
      <c r="R210" s="376">
        <v>1</v>
      </c>
    </row>
    <row r="211" spans="8:20" x14ac:dyDescent="0.3">
      <c r="H211" s="499"/>
      <c r="I211" s="500">
        <v>44454</v>
      </c>
      <c r="J211" s="501"/>
      <c r="K211" s="501" t="s">
        <v>984</v>
      </c>
      <c r="L211" s="501" t="s">
        <v>219</v>
      </c>
      <c r="M211" s="502"/>
      <c r="N211" s="503">
        <v>16.309999999999999</v>
      </c>
      <c r="O211" s="451">
        <f>IF(ISBLANK(CkReg16_1815171521[[#This Row],[Withdrawal]]),O210+CkReg16_1815171521[[#This Row],[Deposit]],O210-CkReg16_1815171521[[#This Row],[Withdrawal]])</f>
        <v>10801.760000000007</v>
      </c>
      <c r="P211" s="504">
        <v>44469</v>
      </c>
      <c r="Q211" s="451">
        <f>IF(ISBLANK(CkReg16_1815171521[[#This Row],[Withdrawal]]),Q210+CkReg16_1815171521[[#This Row],[Deposit]],Q210-CkReg16_1815171521[[#This Row],[Withdrawal]])</f>
        <v>19516.759999999977</v>
      </c>
      <c r="R211" s="376">
        <v>1</v>
      </c>
    </row>
    <row r="212" spans="8:20" x14ac:dyDescent="0.3">
      <c r="H212" s="536"/>
      <c r="I212" s="537">
        <v>44454</v>
      </c>
      <c r="J212" s="538"/>
      <c r="K212" s="538" t="s">
        <v>989</v>
      </c>
      <c r="L212" s="538" t="s">
        <v>946</v>
      </c>
      <c r="M212" s="539">
        <v>16.309999999999999</v>
      </c>
      <c r="N212" s="540"/>
      <c r="O212" s="451">
        <f>IF(ISBLANK(CkReg16_1815171521[[#This Row],[Withdrawal]]),O211+CkReg16_1815171521[[#This Row],[Deposit]],O211-CkReg16_1815171521[[#This Row],[Withdrawal]])</f>
        <v>10785.450000000008</v>
      </c>
      <c r="P212" s="504">
        <v>44469</v>
      </c>
      <c r="Q212" s="451">
        <f>IF(ISBLANK(CkReg16_1815171521[[#This Row],[Withdrawal]]),Q211+CkReg16_1815171521[[#This Row],[Deposit]],Q211-CkReg16_1815171521[[#This Row],[Withdrawal]])</f>
        <v>19500.449999999975</v>
      </c>
      <c r="R212" s="376">
        <v>1</v>
      </c>
    </row>
    <row r="213" spans="8:20" x14ac:dyDescent="0.3">
      <c r="H213" s="499"/>
      <c r="I213" s="500">
        <v>44454</v>
      </c>
      <c r="J213" s="285" t="s">
        <v>1077</v>
      </c>
      <c r="K213" s="285" t="s">
        <v>1050</v>
      </c>
      <c r="L213" s="285" t="s">
        <v>61</v>
      </c>
      <c r="M213" s="502"/>
      <c r="N213" s="503">
        <v>10041</v>
      </c>
      <c r="O213" s="451">
        <f>IF(ISBLANK(CkReg16_1815171521[[#This Row],[Withdrawal]]),O212+CkReg16_1815171521[[#This Row],[Deposit]],O212-CkReg16_1815171521[[#This Row],[Withdrawal]])</f>
        <v>20826.450000000008</v>
      </c>
      <c r="P213" s="504">
        <v>44487</v>
      </c>
      <c r="Q213" s="451">
        <f>IF(ISBLANK(CkReg16_1815171521[[#This Row],[Withdrawal]]),Q212+CkReg16_1815171521[[#This Row],[Deposit]],Q212-CkReg16_1815171521[[#This Row],[Withdrawal]])</f>
        <v>29541.449999999975</v>
      </c>
      <c r="R213" s="376">
        <v>1</v>
      </c>
      <c r="T213" s="542"/>
    </row>
    <row r="214" spans="8:20" x14ac:dyDescent="0.3">
      <c r="H214" s="286"/>
      <c r="I214" s="500">
        <v>44454</v>
      </c>
      <c r="J214" s="285" t="s">
        <v>1077</v>
      </c>
      <c r="K214" s="285" t="s">
        <v>1050</v>
      </c>
      <c r="L214" s="285" t="s">
        <v>919</v>
      </c>
      <c r="M214" s="446">
        <v>169.58000000000357</v>
      </c>
      <c r="N214" s="496"/>
      <c r="O214" s="451">
        <f>IF(ISBLANK(CkReg16_1815171521[[#This Row],[Withdrawal]]),O213+CkReg16_1815171521[[#This Row],[Deposit]],O213-CkReg16_1815171521[[#This Row],[Withdrawal]])</f>
        <v>20656.870000000003</v>
      </c>
      <c r="P214" s="504">
        <v>44487</v>
      </c>
      <c r="Q214" s="451">
        <f>IF(ISBLANK(CkReg16_1815171521[[#This Row],[Withdrawal]]),Q213+CkReg16_1815171521[[#This Row],[Deposit]],Q213-CkReg16_1815171521[[#This Row],[Withdrawal]])</f>
        <v>29371.869999999974</v>
      </c>
      <c r="R214" s="504">
        <v>1</v>
      </c>
    </row>
    <row r="215" spans="8:20" x14ac:dyDescent="0.3">
      <c r="H215" s="499">
        <v>3408</v>
      </c>
      <c r="I215" s="500">
        <v>44455</v>
      </c>
      <c r="J215" s="501" t="s">
        <v>85</v>
      </c>
      <c r="K215" s="501" t="s">
        <v>693</v>
      </c>
      <c r="L215" s="501" t="s">
        <v>68</v>
      </c>
      <c r="M215" s="502">
        <v>43.85</v>
      </c>
      <c r="N215" s="503"/>
      <c r="O215" s="451">
        <f>IF(ISBLANK(CkReg16_1815171521[[#This Row],[Withdrawal]]),O214+CkReg16_1815171521[[#This Row],[Deposit]],O214-CkReg16_1815171521[[#This Row],[Withdrawal]])</f>
        <v>20613.020000000004</v>
      </c>
      <c r="P215" s="504">
        <v>44462</v>
      </c>
      <c r="Q215" s="451">
        <f>IF(ISBLANK(CkReg16_1815171521[[#This Row],[Withdrawal]]),Q214+CkReg16_1815171521[[#This Row],[Deposit]],Q214-CkReg16_1815171521[[#This Row],[Withdrawal]])</f>
        <v>29328.019999999975</v>
      </c>
      <c r="R215" s="504">
        <v>1</v>
      </c>
    </row>
    <row r="216" spans="8:20" x14ac:dyDescent="0.3">
      <c r="H216" s="499">
        <v>3410</v>
      </c>
      <c r="I216" s="500">
        <v>44456</v>
      </c>
      <c r="J216" s="285" t="s">
        <v>1054</v>
      </c>
      <c r="K216" s="285" t="s">
        <v>1068</v>
      </c>
      <c r="L216" s="285" t="s">
        <v>1067</v>
      </c>
      <c r="M216" s="446"/>
      <c r="N216" s="496">
        <v>410.5</v>
      </c>
      <c r="O216" s="451">
        <f>IF(ISBLANK(CkReg16_1815171521[[#This Row],[Withdrawal]]),O215+CkReg16_1815171521[[#This Row],[Deposit]],O215-CkReg16_1815171521[[#This Row],[Withdrawal]])</f>
        <v>21023.520000000004</v>
      </c>
      <c r="P216" s="376">
        <v>44469</v>
      </c>
      <c r="Q216" s="451">
        <f>IF(ISBLANK(CkReg16_1815171521[[#This Row],[Withdrawal]]),Q215+CkReg16_1815171521[[#This Row],[Deposit]],Q215-CkReg16_1815171521[[#This Row],[Withdrawal]])</f>
        <v>29738.519999999975</v>
      </c>
      <c r="R216" s="504">
        <v>1</v>
      </c>
    </row>
    <row r="217" spans="8:20" x14ac:dyDescent="0.3">
      <c r="H217" s="499">
        <v>3410</v>
      </c>
      <c r="I217" s="500">
        <v>44457</v>
      </c>
      <c r="J217" s="285" t="s">
        <v>1054</v>
      </c>
      <c r="K217" s="285" t="s">
        <v>1068</v>
      </c>
      <c r="L217" s="285" t="s">
        <v>61</v>
      </c>
      <c r="M217" s="446"/>
      <c r="N217" s="496">
        <v>-410.5</v>
      </c>
      <c r="O217" s="451">
        <f>IF(ISBLANK(CkReg16_1815171521[[#This Row],[Withdrawal]]),O216+CkReg16_1815171521[[#This Row],[Deposit]],O216-CkReg16_1815171521[[#This Row],[Withdrawal]])</f>
        <v>20613.020000000004</v>
      </c>
      <c r="P217" s="376">
        <v>44469</v>
      </c>
      <c r="Q217" s="451">
        <f>IF(ISBLANK(CkReg16_1815171521[[#This Row],[Withdrawal]]),Q216+CkReg16_1815171521[[#This Row],[Deposit]],Q216-CkReg16_1815171521[[#This Row],[Withdrawal]])</f>
        <v>29328.019999999975</v>
      </c>
      <c r="R217" s="504">
        <v>1</v>
      </c>
    </row>
    <row r="218" spans="8:20" x14ac:dyDescent="0.3">
      <c r="H218" s="499"/>
      <c r="I218" s="500">
        <v>44469</v>
      </c>
      <c r="J218" s="285"/>
      <c r="K218" s="285" t="s">
        <v>1009</v>
      </c>
      <c r="L218" s="285" t="s">
        <v>91</v>
      </c>
      <c r="M218" s="502"/>
      <c r="N218" s="503">
        <v>0.06</v>
      </c>
      <c r="O218" s="451">
        <f>IF(ISBLANK(CkReg16_1815171521[[#This Row],[Withdrawal]]),O217+CkReg16_1815171521[[#This Row],[Deposit]],O217-CkReg16_1815171521[[#This Row],[Withdrawal]])</f>
        <v>20613.080000000005</v>
      </c>
      <c r="P218" s="504">
        <v>44469</v>
      </c>
      <c r="Q218" s="451">
        <f>IF(ISBLANK(CkReg16_1815171521[[#This Row],[Withdrawal]]),Q217+CkReg16_1815171521[[#This Row],[Deposit]],Q217-CkReg16_1815171521[[#This Row],[Withdrawal]])</f>
        <v>29328.079999999976</v>
      </c>
      <c r="R218" s="504">
        <v>1</v>
      </c>
    </row>
    <row r="219" spans="8:20" x14ac:dyDescent="0.3">
      <c r="H219" s="499"/>
      <c r="I219" s="500">
        <v>44469</v>
      </c>
      <c r="J219" s="285"/>
      <c r="K219" s="285" t="s">
        <v>1065</v>
      </c>
      <c r="L219" s="285" t="s">
        <v>219</v>
      </c>
      <c r="M219" s="502"/>
      <c r="N219" s="503">
        <v>350</v>
      </c>
      <c r="O219" s="451">
        <f>IF(ISBLANK(CkReg16_1815171521[[#This Row],[Withdrawal]]),O218+CkReg16_1815171521[[#This Row],[Deposit]],O218-CkReg16_1815171521[[#This Row],[Withdrawal]])</f>
        <v>20963.080000000005</v>
      </c>
      <c r="P219" s="504">
        <v>44470</v>
      </c>
      <c r="Q219" s="451">
        <f>IF(ISBLANK(CkReg16_1815171521[[#This Row],[Withdrawal]]),Q218+CkReg16_1815171521[[#This Row],[Deposit]],Q218-CkReg16_1815171521[[#This Row],[Withdrawal]])</f>
        <v>29678.079999999976</v>
      </c>
      <c r="R219" s="504">
        <v>1</v>
      </c>
    </row>
    <row r="220" spans="8:20" x14ac:dyDescent="0.3">
      <c r="H220" s="499">
        <v>3410</v>
      </c>
      <c r="I220" s="383">
        <v>44469</v>
      </c>
      <c r="J220" s="285" t="s">
        <v>1054</v>
      </c>
      <c r="K220" s="501"/>
      <c r="L220" s="285" t="s">
        <v>69</v>
      </c>
      <c r="M220" s="502">
        <f>289.5+7411.5+200</f>
        <v>7901</v>
      </c>
      <c r="N220" s="503"/>
      <c r="O220" s="451">
        <f>IF(ISBLANK(CkReg16_1815171521[[#This Row],[Withdrawal]]),O219+CkReg16_1815171521[[#This Row],[Deposit]],O219-CkReg16_1815171521[[#This Row],[Withdrawal]])</f>
        <v>13062.080000000005</v>
      </c>
      <c r="P220" s="504">
        <v>44474</v>
      </c>
      <c r="Q220" s="451">
        <f>IF(ISBLANK(CkReg16_1815171521[[#This Row],[Withdrawal]]),Q219+CkReg16_1815171521[[#This Row],[Deposit]],Q219-CkReg16_1815171521[[#This Row],[Withdrawal]])</f>
        <v>21777.079999999976</v>
      </c>
      <c r="R220" s="504">
        <v>1</v>
      </c>
    </row>
    <row r="221" spans="8:20" ht="17.399999999999999" customHeight="1" x14ac:dyDescent="0.3">
      <c r="H221" s="499">
        <v>3410</v>
      </c>
      <c r="I221" s="383">
        <v>44469</v>
      </c>
      <c r="J221" s="285" t="s">
        <v>1054</v>
      </c>
      <c r="K221" s="285" t="s">
        <v>1055</v>
      </c>
      <c r="L221" s="285" t="s">
        <v>68</v>
      </c>
      <c r="M221" s="502">
        <v>315</v>
      </c>
      <c r="N221" s="503"/>
      <c r="O221" s="451">
        <f>IF(ISBLANK(CkReg16_1815171521[[#This Row],[Withdrawal]]),O220+CkReg16_1815171521[[#This Row],[Deposit]],O220-CkReg16_1815171521[[#This Row],[Withdrawal]])</f>
        <v>12747.080000000005</v>
      </c>
      <c r="P221" s="504">
        <v>44474</v>
      </c>
      <c r="Q221" s="451">
        <f>IF(ISBLANK(CkReg16_1815171521[[#This Row],[Withdrawal]]),Q220+CkReg16_1815171521[[#This Row],[Deposit]],Q220-CkReg16_1815171521[[#This Row],[Withdrawal]])</f>
        <v>21462.079999999976</v>
      </c>
      <c r="R221" s="504">
        <v>1</v>
      </c>
    </row>
    <row r="222" spans="8:20" hidden="1" x14ac:dyDescent="0.3">
      <c r="H222" s="499">
        <v>3410</v>
      </c>
      <c r="I222" s="383">
        <v>44469</v>
      </c>
      <c r="J222" s="285" t="s">
        <v>1054</v>
      </c>
      <c r="K222" s="285" t="s">
        <v>1056</v>
      </c>
      <c r="L222" s="285" t="s">
        <v>66</v>
      </c>
      <c r="M222" s="502">
        <v>1000</v>
      </c>
      <c r="N222" s="503"/>
      <c r="O222" s="451">
        <f>IF(ISBLANK(CkReg16_1815171521[[#This Row],[Withdrawal]]),O221+CkReg16_1815171521[[#This Row],[Deposit]],O221-CkReg16_1815171521[[#This Row],[Withdrawal]])</f>
        <v>11747.080000000005</v>
      </c>
      <c r="P222" s="504">
        <v>44474</v>
      </c>
      <c r="Q222" s="451">
        <f>IF(ISBLANK(CkReg16_1815171521[[#This Row],[Withdrawal]]),Q221+CkReg16_1815171521[[#This Row],[Deposit]],Q221-CkReg16_1815171521[[#This Row],[Withdrawal]])</f>
        <v>20462.079999999976</v>
      </c>
      <c r="R222" s="504">
        <v>1</v>
      </c>
    </row>
    <row r="223" spans="8:20" x14ac:dyDescent="0.3">
      <c r="H223" s="499">
        <v>3410</v>
      </c>
      <c r="I223" s="537">
        <v>44469</v>
      </c>
      <c r="J223" s="285" t="s">
        <v>1054</v>
      </c>
      <c r="K223" s="538" t="s">
        <v>1069</v>
      </c>
      <c r="L223" s="538" t="s">
        <v>72</v>
      </c>
      <c r="M223" s="539">
        <v>700</v>
      </c>
      <c r="N223" s="540"/>
      <c r="O223" s="451">
        <f>IF(ISBLANK(CkReg16_1815171521[[#This Row],[Withdrawal]]),O222+CkReg16_1815171521[[#This Row],[Deposit]],O222-CkReg16_1815171521[[#This Row],[Withdrawal]])</f>
        <v>11047.080000000005</v>
      </c>
      <c r="P223" s="541">
        <v>44474</v>
      </c>
      <c r="Q223" s="451">
        <f>IF(ISBLANK(CkReg16_1815171521[[#This Row],[Withdrawal]]),Q222+CkReg16_1815171521[[#This Row],[Deposit]],Q222-CkReg16_1815171521[[#This Row],[Withdrawal]])</f>
        <v>19762.079999999976</v>
      </c>
      <c r="R223" s="376">
        <v>1</v>
      </c>
    </row>
    <row r="224" spans="8:20" x14ac:dyDescent="0.3">
      <c r="H224" s="499">
        <v>3410</v>
      </c>
      <c r="I224" s="537">
        <v>44469</v>
      </c>
      <c r="J224" s="285" t="s">
        <v>1054</v>
      </c>
      <c r="K224" s="538" t="s">
        <v>1069</v>
      </c>
      <c r="L224" s="538" t="s">
        <v>69</v>
      </c>
      <c r="M224" s="539">
        <v>-700</v>
      </c>
      <c r="N224" s="540"/>
      <c r="O224" s="451">
        <f>IF(ISBLANK(CkReg16_1815171521[[#This Row],[Withdrawal]]),O223+CkReg16_1815171521[[#This Row],[Deposit]],O223-CkReg16_1815171521[[#This Row],[Withdrawal]])</f>
        <v>11747.080000000005</v>
      </c>
      <c r="P224" s="541">
        <v>44474</v>
      </c>
      <c r="Q224" s="451">
        <f>IF(ISBLANK(CkReg16_1815171521[[#This Row],[Withdrawal]]),Q223+CkReg16_1815171521[[#This Row],[Deposit]],Q223-CkReg16_1815171521[[#This Row],[Withdrawal]])</f>
        <v>20462.079999999976</v>
      </c>
      <c r="R224" s="541">
        <v>44469</v>
      </c>
    </row>
    <row r="225" spans="8:18" x14ac:dyDescent="0.3">
      <c r="H225" s="499"/>
      <c r="I225" s="500">
        <v>44471</v>
      </c>
      <c r="J225" s="285"/>
      <c r="K225" s="285" t="s">
        <v>1064</v>
      </c>
      <c r="L225" s="285" t="s">
        <v>219</v>
      </c>
      <c r="M225" s="502"/>
      <c r="N225" s="503">
        <v>75</v>
      </c>
      <c r="O225" s="451">
        <f>IF(ISBLANK(CkReg16_1815171521[[#This Row],[Withdrawal]]),O224+CkReg16_1815171521[[#This Row],[Deposit]],O224-CkReg16_1815171521[[#This Row],[Withdrawal]])</f>
        <v>11822.080000000005</v>
      </c>
      <c r="P225" s="504">
        <v>44482</v>
      </c>
      <c r="Q225" s="451">
        <f>IF(ISBLANK(CkReg16_1815171521[[#This Row],[Withdrawal]]),Q224+CkReg16_1815171521[[#This Row],[Deposit]],Q224-CkReg16_1815171521[[#This Row],[Withdrawal]])</f>
        <v>20537.079999999976</v>
      </c>
      <c r="R225" s="376">
        <v>1</v>
      </c>
    </row>
    <row r="226" spans="8:18" x14ac:dyDescent="0.3">
      <c r="H226" s="499"/>
      <c r="I226" s="526">
        <v>44471</v>
      </c>
      <c r="J226" s="527"/>
      <c r="K226" s="285" t="s">
        <v>1065</v>
      </c>
      <c r="L226" s="285" t="s">
        <v>219</v>
      </c>
      <c r="M226" s="528"/>
      <c r="N226" s="529">
        <v>100</v>
      </c>
      <c r="O226" s="451">
        <f>IF(ISBLANK(CkReg16_1815171521[[#This Row],[Withdrawal]]),O225+CkReg16_1815171521[[#This Row],[Deposit]],O225-CkReg16_1815171521[[#This Row],[Withdrawal]])</f>
        <v>11922.080000000005</v>
      </c>
      <c r="P226" s="504">
        <v>44482</v>
      </c>
      <c r="Q226" s="451">
        <f>IF(ISBLANK(CkReg16_1815171521[[#This Row],[Withdrawal]]),Q225+CkReg16_1815171521[[#This Row],[Deposit]],Q225-CkReg16_1815171521[[#This Row],[Withdrawal]])</f>
        <v>20637.079999999976</v>
      </c>
      <c r="R226" s="376">
        <v>1</v>
      </c>
    </row>
    <row r="227" spans="8:18" x14ac:dyDescent="0.3">
      <c r="H227" s="499"/>
      <c r="I227" s="526">
        <v>44471</v>
      </c>
      <c r="J227" s="527"/>
      <c r="K227" s="285" t="s">
        <v>1066</v>
      </c>
      <c r="L227" s="285" t="s">
        <v>219</v>
      </c>
      <c r="M227" s="528"/>
      <c r="N227" s="529">
        <v>100</v>
      </c>
      <c r="O227" s="451">
        <f>IF(ISBLANK(CkReg16_1815171521[[#This Row],[Withdrawal]]),O226+CkReg16_1815171521[[#This Row],[Deposit]],O226-CkReg16_1815171521[[#This Row],[Withdrawal]])</f>
        <v>12022.080000000005</v>
      </c>
      <c r="P227" s="504">
        <v>44482</v>
      </c>
      <c r="Q227" s="451">
        <f>IF(ISBLANK(CkReg16_1815171521[[#This Row],[Withdrawal]]),Q226+CkReg16_1815171521[[#This Row],[Deposit]],Q226-CkReg16_1815171521[[#This Row],[Withdrawal]])</f>
        <v>20737.079999999976</v>
      </c>
      <c r="R227" s="376">
        <v>1</v>
      </c>
    </row>
    <row r="228" spans="8:18" x14ac:dyDescent="0.3">
      <c r="H228" s="499">
        <v>3409</v>
      </c>
      <c r="I228" s="500">
        <v>44471</v>
      </c>
      <c r="J228" s="285" t="s">
        <v>133</v>
      </c>
      <c r="K228" s="285" t="s">
        <v>1057</v>
      </c>
      <c r="L228" s="501" t="s">
        <v>74</v>
      </c>
      <c r="M228" s="502">
        <v>29.98</v>
      </c>
      <c r="N228" s="503"/>
      <c r="O228" s="451">
        <f>IF(ISBLANK(CkReg16_1815171521[[#This Row],[Withdrawal]]),O227+CkReg16_1815171521[[#This Row],[Deposit]],O227-CkReg16_1815171521[[#This Row],[Withdrawal]])</f>
        <v>11992.100000000006</v>
      </c>
      <c r="P228" s="504">
        <v>44477</v>
      </c>
      <c r="Q228" s="451">
        <f>IF(ISBLANK(CkReg16_1815171521[[#This Row],[Withdrawal]]),Q227+CkReg16_1815171521[[#This Row],[Deposit]],Q227-CkReg16_1815171521[[#This Row],[Withdrawal]])</f>
        <v>20707.099999999977</v>
      </c>
      <c r="R228" s="504">
        <v>1</v>
      </c>
    </row>
    <row r="229" spans="8:18" x14ac:dyDescent="0.3">
      <c r="H229" s="499">
        <v>3411</v>
      </c>
      <c r="I229" s="500">
        <v>44471</v>
      </c>
      <c r="J229" s="285" t="s">
        <v>92</v>
      </c>
      <c r="K229" s="285" t="s">
        <v>1059</v>
      </c>
      <c r="L229" s="501" t="s">
        <v>43</v>
      </c>
      <c r="M229" s="502">
        <v>200</v>
      </c>
      <c r="N229" s="503"/>
      <c r="O229" s="451">
        <f>IF(ISBLANK(CkReg16_1815171521[[#This Row],[Withdrawal]]),O228+CkReg16_1815171521[[#This Row],[Deposit]],O228-CkReg16_1815171521[[#This Row],[Withdrawal]])</f>
        <v>11792.100000000006</v>
      </c>
      <c r="P229" s="504">
        <v>44483</v>
      </c>
      <c r="Q229" s="451">
        <f>IF(ISBLANK(CkReg16_1815171521[[#This Row],[Withdrawal]]),Q228+CkReg16_1815171521[[#This Row],[Deposit]],Q228-CkReg16_1815171521[[#This Row],[Withdrawal]])</f>
        <v>20507.099999999977</v>
      </c>
      <c r="R229" s="504">
        <v>1</v>
      </c>
    </row>
    <row r="230" spans="8:18" x14ac:dyDescent="0.3">
      <c r="H230" s="499">
        <v>3412</v>
      </c>
      <c r="I230" s="500">
        <v>44471</v>
      </c>
      <c r="J230" s="285" t="s">
        <v>131</v>
      </c>
      <c r="K230" s="285" t="s">
        <v>1063</v>
      </c>
      <c r="L230" s="501" t="s">
        <v>34</v>
      </c>
      <c r="M230" s="502">
        <v>500</v>
      </c>
      <c r="N230" s="503"/>
      <c r="O230" s="451">
        <f>IF(ISBLANK(CkReg16_1815171521[[#This Row],[Withdrawal]]),O229+CkReg16_1815171521[[#This Row],[Deposit]],O229-CkReg16_1815171521[[#This Row],[Withdrawal]])</f>
        <v>11292.100000000006</v>
      </c>
      <c r="P230" s="504"/>
      <c r="Q230" s="451">
        <f>IF(ISBLANK(CkReg16_1815171521[[#This Row],[Withdrawal]]),Q229+CkReg16_1815171521[[#This Row],[Deposit]],Q229-CkReg16_1815171521[[#This Row],[Withdrawal]])</f>
        <v>20007.099999999977</v>
      </c>
      <c r="R230" s="504">
        <v>1</v>
      </c>
    </row>
    <row r="231" spans="8:18" x14ac:dyDescent="0.3">
      <c r="H231" s="499">
        <v>3413</v>
      </c>
      <c r="I231" s="500">
        <v>44471</v>
      </c>
      <c r="J231" s="285" t="s">
        <v>1023</v>
      </c>
      <c r="K231" s="285" t="s">
        <v>1060</v>
      </c>
      <c r="L231" s="285" t="s">
        <v>34</v>
      </c>
      <c r="M231" s="502">
        <v>300</v>
      </c>
      <c r="N231" s="503"/>
      <c r="O231" s="451">
        <f>IF(ISBLANK(CkReg16_1815171521[[#This Row],[Withdrawal]]),O230+CkReg16_1815171521[[#This Row],[Deposit]],O230-CkReg16_1815171521[[#This Row],[Withdrawal]])</f>
        <v>10992.100000000006</v>
      </c>
      <c r="P231" s="504">
        <v>44490</v>
      </c>
      <c r="Q231" s="451">
        <f>IF(ISBLANK(CkReg16_1815171521[[#This Row],[Withdrawal]]),Q230+CkReg16_1815171521[[#This Row],[Deposit]],Q230-CkReg16_1815171521[[#This Row],[Withdrawal]])</f>
        <v>19707.099999999977</v>
      </c>
      <c r="R231" s="504">
        <v>1</v>
      </c>
    </row>
    <row r="232" spans="8:18" x14ac:dyDescent="0.3">
      <c r="H232" s="536"/>
      <c r="I232" s="537">
        <v>44500</v>
      </c>
      <c r="J232" s="538"/>
      <c r="K232" s="538"/>
      <c r="L232" s="538" t="s">
        <v>91</v>
      </c>
      <c r="M232" s="539"/>
      <c r="N232" s="540">
        <v>0.06</v>
      </c>
      <c r="O232" s="451">
        <f>IF(ISBLANK(CkReg16_1815171521[[#This Row],[Withdrawal]]),O231+CkReg16_1815171521[[#This Row],[Deposit]],O231-CkReg16_1815171521[[#This Row],[Withdrawal]])</f>
        <v>10992.160000000005</v>
      </c>
      <c r="P232" s="541">
        <v>44500</v>
      </c>
      <c r="Q232" s="451">
        <f>IF(ISBLANK(CkReg16_1815171521[[#This Row],[Withdrawal]]),Q231+CkReg16_1815171521[[#This Row],[Deposit]],Q231-CkReg16_1815171521[[#This Row],[Withdrawal]])</f>
        <v>19707.159999999978</v>
      </c>
      <c r="R232" s="504">
        <v>44500</v>
      </c>
    </row>
    <row r="233" spans="8:18" x14ac:dyDescent="0.3">
      <c r="H233" s="499"/>
      <c r="I233" s="531">
        <v>44501</v>
      </c>
      <c r="J233" s="532"/>
      <c r="K233" s="460" t="s">
        <v>1061</v>
      </c>
      <c r="L233" s="460" t="s">
        <v>1062</v>
      </c>
      <c r="M233" s="533"/>
      <c r="N233" s="534">
        <v>335.5</v>
      </c>
      <c r="O233" s="451">
        <f>IF(ISBLANK(CkReg16_1815171521[[#This Row],[Withdrawal]]),O232+CkReg16_1815171521[[#This Row],[Deposit]],O232-CkReg16_1815171521[[#This Row],[Withdrawal]])</f>
        <v>11327.660000000005</v>
      </c>
      <c r="P233" s="504">
        <v>44501</v>
      </c>
      <c r="Q233" s="451">
        <f>IF(ISBLANK(CkReg16_1815171521[[#This Row],[Withdrawal]]),Q232+CkReg16_1815171521[[#This Row],[Deposit]],Q232-CkReg16_1815171521[[#This Row],[Withdrawal]])</f>
        <v>20042.659999999978</v>
      </c>
      <c r="R233" s="504">
        <v>1</v>
      </c>
    </row>
    <row r="234" spans="8:18" x14ac:dyDescent="0.3">
      <c r="H234" s="499"/>
      <c r="I234" s="526">
        <v>44519</v>
      </c>
      <c r="J234" s="527"/>
      <c r="K234" s="527" t="s">
        <v>1058</v>
      </c>
      <c r="L234" s="527" t="s">
        <v>389</v>
      </c>
      <c r="M234" s="528">
        <v>-150</v>
      </c>
      <c r="N234" s="529"/>
      <c r="O234" s="451">
        <f>IF(ISBLANK(CkReg16_1815171521[[#This Row],[Withdrawal]]),O233+CkReg16_1815171521[[#This Row],[Deposit]],O233-CkReg16_1815171521[[#This Row],[Withdrawal]])</f>
        <v>11477.660000000005</v>
      </c>
      <c r="P234" s="504"/>
      <c r="Q234" s="451">
        <f>IF(ISBLANK(CkReg16_1815171521[[#This Row],[Withdrawal]]),Q233+CkReg16_1815171521[[#This Row],[Deposit]],Q233-CkReg16_1815171521[[#This Row],[Withdrawal]])</f>
        <v>20192.659999999978</v>
      </c>
      <c r="R234" s="504">
        <v>1</v>
      </c>
    </row>
    <row r="235" spans="8:18" x14ac:dyDescent="0.3">
      <c r="H235" s="286"/>
      <c r="I235" s="526">
        <v>44530</v>
      </c>
      <c r="J235" s="285"/>
      <c r="K235" s="285"/>
      <c r="L235" s="285" t="s">
        <v>91</v>
      </c>
      <c r="M235" s="446"/>
      <c r="N235" s="496">
        <v>0.08</v>
      </c>
      <c r="O235" s="451">
        <f>IF(ISBLANK(CkReg16_1815171521[[#This Row],[Withdrawal]]),O234+CkReg16_1815171521[[#This Row],[Deposit]],O234-CkReg16_1815171521[[#This Row],[Withdrawal]])</f>
        <v>11477.740000000005</v>
      </c>
      <c r="P235" s="376">
        <v>44530</v>
      </c>
      <c r="Q235" s="451">
        <f>IF(ISBLANK(CkReg16_1815171521[[#This Row],[Withdrawal]]),Q234+CkReg16_1815171521[[#This Row],[Deposit]],Q234-CkReg16_1815171521[[#This Row],[Withdrawal]])</f>
        <v>20192.73999999998</v>
      </c>
      <c r="R235" s="504">
        <v>44530</v>
      </c>
    </row>
    <row r="236" spans="8:18" x14ac:dyDescent="0.3">
      <c r="H236" s="286"/>
      <c r="I236" s="526"/>
      <c r="J236" s="285"/>
      <c r="K236" s="285"/>
      <c r="L236" s="285"/>
      <c r="M236" s="446"/>
      <c r="N236" s="496"/>
      <c r="O236" s="451">
        <f>IF(ISBLANK(CkReg16_1815171521[[#This Row],[Withdrawal]]),O235+CkReg16_1815171521[[#This Row],[Deposit]],O235-CkReg16_1815171521[[#This Row],[Withdrawal]])</f>
        <v>11477.740000000005</v>
      </c>
      <c r="P236" s="376"/>
      <c r="Q236" s="451">
        <f>IF(ISBLANK(CkReg16_1815171521[[#This Row],[Withdrawal]]),Q235+CkReg16_1815171521[[#This Row],[Deposit]],Q235-CkReg16_1815171521[[#This Row],[Withdrawal]])</f>
        <v>20192.73999999998</v>
      </c>
      <c r="R236" s="504">
        <v>1</v>
      </c>
    </row>
    <row r="237" spans="8:18" x14ac:dyDescent="0.3">
      <c r="H237" s="536"/>
      <c r="I237" s="537"/>
      <c r="J237" s="538"/>
      <c r="K237" s="538"/>
      <c r="L237" s="538"/>
      <c r="M237" s="539"/>
      <c r="N237" s="540"/>
      <c r="O237" s="451">
        <f>IF(ISBLANK(CkReg16_1815171521[[#This Row],[Withdrawal]]),O236+CkReg16_1815171521[[#This Row],[Deposit]],O236-CkReg16_1815171521[[#This Row],[Withdrawal]])</f>
        <v>11477.740000000005</v>
      </c>
      <c r="P237" s="541"/>
      <c r="Q237" s="451">
        <f>IF(ISBLANK(CkReg16_1815171521[[#This Row],[Withdrawal]]),Q236+CkReg16_1815171521[[#This Row],[Deposit]],Q236-CkReg16_1815171521[[#This Row],[Withdrawal]])</f>
        <v>20192.73999999998</v>
      </c>
      <c r="R237" s="504">
        <v>1</v>
      </c>
    </row>
    <row r="238" spans="8:18" x14ac:dyDescent="0.3">
      <c r="H238" s="536"/>
      <c r="I238" s="537"/>
      <c r="J238" s="538"/>
      <c r="K238" s="538"/>
      <c r="L238" s="538"/>
      <c r="M238" s="539"/>
      <c r="N238" s="540">
        <f>+'Check Register 2015'!M345</f>
        <v>0</v>
      </c>
      <c r="O238" s="451">
        <f>IF(ISBLANK(CkReg16_1815171521[[#This Row],[Withdrawal]]),O237+CkReg16_1815171521[[#This Row],[Deposit]],O237-CkReg16_1815171521[[#This Row],[Withdrawal]])</f>
        <v>11477.740000000005</v>
      </c>
      <c r="P238" s="541"/>
      <c r="Q238" s="451">
        <f>IF(ISBLANK(CkReg16_1815171521[[#This Row],[Withdrawal]]),Q237+CkReg16_1815171521[[#This Row],[Deposit]],Q237-CkReg16_1815171521[[#This Row],[Withdrawal]])</f>
        <v>20192.73999999998</v>
      </c>
      <c r="R238" s="504">
        <v>1</v>
      </c>
    </row>
    <row r="239" spans="8:18" x14ac:dyDescent="0.3">
      <c r="H239" s="499"/>
      <c r="I239" s="500"/>
      <c r="J239" s="501"/>
      <c r="K239" s="285"/>
      <c r="L239" s="285"/>
      <c r="M239" s="502"/>
      <c r="N239" s="503"/>
      <c r="O239" s="451">
        <f>IF(ISBLANK(CkReg16_1815171521[[#This Row],[Withdrawal]]),O238+CkReg16_1815171521[[#This Row],[Deposit]],O238-CkReg16_1815171521[[#This Row],[Withdrawal]])</f>
        <v>11477.740000000005</v>
      </c>
      <c r="P239" s="504"/>
      <c r="Q239" s="451">
        <f>IF(ISBLANK(CkReg16_1815171521[[#This Row],[Withdrawal]]),Q238+CkReg16_1815171521[[#This Row],[Deposit]],Q238-CkReg16_1815171521[[#This Row],[Withdrawal]])</f>
        <v>20192.73999999998</v>
      </c>
      <c r="R239" s="376">
        <v>1</v>
      </c>
    </row>
    <row r="240" spans="8:18" x14ac:dyDescent="0.3">
      <c r="H240" s="499"/>
      <c r="I240" s="500"/>
      <c r="J240" s="501"/>
      <c r="K240" s="501"/>
      <c r="L240" s="501"/>
      <c r="M240" s="502"/>
      <c r="N240" s="503"/>
      <c r="O240" s="451">
        <f>IF(ISBLANK(CkReg16_1815171521[[#This Row],[Withdrawal]]),O239+CkReg16_1815171521[[#This Row],[Deposit]],O239-CkReg16_1815171521[[#This Row],[Withdrawal]])</f>
        <v>11477.740000000005</v>
      </c>
      <c r="P240" s="504"/>
      <c r="Q240" s="451">
        <f>IF(ISBLANK(CkReg16_1815171521[[#This Row],[Withdrawal]]),Q239+CkReg16_1815171521[[#This Row],[Deposit]],Q239-CkReg16_1815171521[[#This Row],[Withdrawal]])</f>
        <v>20192.73999999998</v>
      </c>
      <c r="R240" s="376">
        <v>1</v>
      </c>
    </row>
    <row r="241" spans="8:18" x14ac:dyDescent="0.3">
      <c r="H241" s="499"/>
      <c r="I241" s="500"/>
      <c r="J241" s="501"/>
      <c r="K241" s="501"/>
      <c r="L241" s="501"/>
      <c r="M241" s="502"/>
      <c r="N241" s="503"/>
      <c r="O241" s="451">
        <f>IF(ISBLANK(CkReg16_1815171521[[#This Row],[Withdrawal]]),O240+CkReg16_1815171521[[#This Row],[Deposit]],O240-CkReg16_1815171521[[#This Row],[Withdrawal]])</f>
        <v>11477.740000000005</v>
      </c>
      <c r="P241" s="504"/>
      <c r="Q241" s="451">
        <f>IF(ISBLANK(CkReg16_1815171521[[#This Row],[Withdrawal]]),Q240+CkReg16_1815171521[[#This Row],[Deposit]],Q240-CkReg16_1815171521[[#This Row],[Withdrawal]])</f>
        <v>20192.73999999998</v>
      </c>
      <c r="R241" s="376">
        <v>1</v>
      </c>
    </row>
    <row r="242" spans="8:18" x14ac:dyDescent="0.3">
      <c r="H242" s="286"/>
      <c r="I242" s="383"/>
      <c r="J242" s="285"/>
      <c r="K242" s="285"/>
      <c r="L242" s="285"/>
      <c r="M242" s="446"/>
      <c r="N242" s="496"/>
      <c r="O242" s="451">
        <f>IF(ISBLANK(CkReg16_1815171521[[#This Row],[Withdrawal]]),O241+CkReg16_1815171521[[#This Row],[Deposit]],O241-CkReg16_1815171521[[#This Row],[Withdrawal]])</f>
        <v>11477.740000000005</v>
      </c>
      <c r="P242" s="504"/>
      <c r="Q242" s="451">
        <f>IF(ISBLANK(CkReg16_1815171521[[#This Row],[Withdrawal]]),Q241+CkReg16_1815171521[[#This Row],[Deposit]],Q241-CkReg16_1815171521[[#This Row],[Withdrawal]])</f>
        <v>20192.73999999998</v>
      </c>
      <c r="R242" s="376">
        <v>1</v>
      </c>
    </row>
    <row r="243" spans="8:18" x14ac:dyDescent="0.3">
      <c r="H243" s="286"/>
      <c r="I243" s="383"/>
      <c r="J243" s="285"/>
      <c r="K243" s="285"/>
      <c r="L243" s="285"/>
      <c r="M243" s="446"/>
      <c r="N243" s="496"/>
      <c r="O243" s="451">
        <f>IF(ISBLANK(CkReg16_1815171521[[#This Row],[Withdrawal]]),O242+CkReg16_1815171521[[#This Row],[Deposit]],O242-CkReg16_1815171521[[#This Row],[Withdrawal]])</f>
        <v>11477.740000000005</v>
      </c>
      <c r="P243" s="504"/>
      <c r="Q243" s="451">
        <f>IF(ISBLANK(CkReg16_1815171521[[#This Row],[Withdrawal]]),Q242+CkReg16_1815171521[[#This Row],[Deposit]],Q242-CkReg16_1815171521[[#This Row],[Withdrawal]])</f>
        <v>20192.73999999998</v>
      </c>
      <c r="R243" s="504">
        <v>1</v>
      </c>
    </row>
    <row r="244" spans="8:18" x14ac:dyDescent="0.3">
      <c r="H244" s="525"/>
      <c r="I244" s="526"/>
      <c r="J244" s="527"/>
      <c r="K244" s="527"/>
      <c r="L244" s="527"/>
      <c r="M244" s="528"/>
      <c r="N244" s="529"/>
      <c r="O244" s="451">
        <f>IF(ISBLANK(CkReg16_1815171521[[#This Row],[Withdrawal]]),O243+CkReg16_1815171521[[#This Row],[Deposit]],O243-CkReg16_1815171521[[#This Row],[Withdrawal]])</f>
        <v>11477.740000000005</v>
      </c>
      <c r="P244" s="530"/>
      <c r="Q244" s="451">
        <f>IF(ISBLANK(CkReg16_1815171521[[#This Row],[Withdrawal]]),Q243+CkReg16_1815171521[[#This Row],[Deposit]],Q243-CkReg16_1815171521[[#This Row],[Withdrawal]])</f>
        <v>20192.73999999998</v>
      </c>
      <c r="R244" s="504">
        <v>1</v>
      </c>
    </row>
    <row r="245" spans="8:18" x14ac:dyDescent="0.3">
      <c r="H245" s="525"/>
      <c r="I245" s="526"/>
      <c r="J245" s="527"/>
      <c r="K245" s="527"/>
      <c r="L245" s="527"/>
      <c r="M245" s="528"/>
      <c r="N245" s="529"/>
      <c r="O245" s="451">
        <f>IF(ISBLANK(CkReg16_1815171521[[#This Row],[Withdrawal]]),O244+CkReg16_1815171521[[#This Row],[Deposit]],O244-CkReg16_1815171521[[#This Row],[Withdrawal]])</f>
        <v>11477.740000000005</v>
      </c>
      <c r="P245" s="530"/>
      <c r="Q245" s="451">
        <f>IF(ISBLANK(CkReg16_1815171521[[#This Row],[Withdrawal]]),Q244+CkReg16_1815171521[[#This Row],[Deposit]],Q244-CkReg16_1815171521[[#This Row],[Withdrawal]])</f>
        <v>20192.73999999998</v>
      </c>
      <c r="R245" s="504">
        <v>1</v>
      </c>
    </row>
    <row r="246" spans="8:18" x14ac:dyDescent="0.3">
      <c r="H246" s="525"/>
      <c r="I246" s="526"/>
      <c r="J246" s="527"/>
      <c r="K246" s="527"/>
      <c r="L246" s="527"/>
      <c r="M246" s="528"/>
      <c r="N246" s="529"/>
      <c r="O246" s="451">
        <f>IF(ISBLANK(CkReg16_1815171521[[#This Row],[Withdrawal]]),O245+CkReg16_1815171521[[#This Row],[Deposit]],O245-CkReg16_1815171521[[#This Row],[Withdrawal]])</f>
        <v>11477.740000000005</v>
      </c>
      <c r="P246" s="530"/>
      <c r="Q246" s="451">
        <f>IF(ISBLANK(CkReg16_1815171521[[#This Row],[Withdrawal]]),Q245+CkReg16_1815171521[[#This Row],[Deposit]],Q245-CkReg16_1815171521[[#This Row],[Withdrawal]])</f>
        <v>20192.73999999998</v>
      </c>
      <c r="R246" s="504">
        <v>1</v>
      </c>
    </row>
    <row r="247" spans="8:18" x14ac:dyDescent="0.3">
      <c r="H247" s="525"/>
      <c r="I247" s="526"/>
      <c r="J247" s="527"/>
      <c r="K247" s="527"/>
      <c r="L247" s="527"/>
      <c r="M247" s="528"/>
      <c r="N247" s="529"/>
      <c r="O247" s="451">
        <f>IF(ISBLANK(CkReg16_1815171521[[#This Row],[Withdrawal]]),O246+CkReg16_1815171521[[#This Row],[Deposit]],O246-CkReg16_1815171521[[#This Row],[Withdrawal]])</f>
        <v>11477.740000000005</v>
      </c>
      <c r="P247" s="530"/>
      <c r="Q247" s="451">
        <f>IF(ISBLANK(CkReg16_1815171521[[#This Row],[Withdrawal]]),Q246+CkReg16_1815171521[[#This Row],[Deposit]],Q246-CkReg16_1815171521[[#This Row],[Withdrawal]])</f>
        <v>20192.73999999998</v>
      </c>
      <c r="R247" s="504">
        <v>1</v>
      </c>
    </row>
    <row r="248" spans="8:18" x14ac:dyDescent="0.3">
      <c r="H248" s="525"/>
      <c r="I248" s="526"/>
      <c r="J248" s="527"/>
      <c r="K248" s="527"/>
      <c r="L248" s="527"/>
      <c r="M248" s="528"/>
      <c r="N248" s="529"/>
      <c r="O248" s="451">
        <f>IF(ISBLANK(CkReg16_1815171521[[#This Row],[Withdrawal]]),O247+CkReg16_1815171521[[#This Row],[Deposit]],O247-CkReg16_1815171521[[#This Row],[Withdrawal]])</f>
        <v>11477.740000000005</v>
      </c>
      <c r="P248" s="530"/>
      <c r="Q248" s="451">
        <f>IF(ISBLANK(CkReg16_1815171521[[#This Row],[Withdrawal]]),Q247+CkReg16_1815171521[[#This Row],[Deposit]],Q247-CkReg16_1815171521[[#This Row],[Withdrawal]])</f>
        <v>20192.73999999998</v>
      </c>
      <c r="R248" s="504">
        <v>1</v>
      </c>
    </row>
    <row r="249" spans="8:18" x14ac:dyDescent="0.3">
      <c r="H249" s="525"/>
      <c r="I249" s="526"/>
      <c r="J249" s="527"/>
      <c r="K249" s="527"/>
      <c r="L249" s="527"/>
      <c r="M249" s="528"/>
      <c r="N249" s="529"/>
      <c r="O249" s="451">
        <f>IF(ISBLANK(CkReg16_1815171521[[#This Row],[Withdrawal]]),O248+CkReg16_1815171521[[#This Row],[Deposit]],O248-CkReg16_1815171521[[#This Row],[Withdrawal]])</f>
        <v>11477.740000000005</v>
      </c>
      <c r="P249" s="530"/>
      <c r="Q249" s="451">
        <f>IF(ISBLANK(CkReg16_1815171521[[#This Row],[Withdrawal]]),Q248+CkReg16_1815171521[[#This Row],[Deposit]],Q248-CkReg16_1815171521[[#This Row],[Withdrawal]])</f>
        <v>20192.73999999998</v>
      </c>
      <c r="R249" s="504">
        <v>1</v>
      </c>
    </row>
    <row r="250" spans="8:18" x14ac:dyDescent="0.3">
      <c r="H250" s="525"/>
      <c r="I250" s="526"/>
      <c r="J250" s="527"/>
      <c r="K250" s="527"/>
      <c r="L250" s="527"/>
      <c r="M250" s="528"/>
      <c r="N250" s="529"/>
      <c r="O250" s="451">
        <f>IF(ISBLANK(CkReg16_1815171521[[#This Row],[Withdrawal]]),O249+CkReg16_1815171521[[#This Row],[Deposit]],O249-CkReg16_1815171521[[#This Row],[Withdrawal]])</f>
        <v>11477.740000000005</v>
      </c>
      <c r="P250" s="530"/>
      <c r="Q250" s="451">
        <f>IF(ISBLANK(CkReg16_1815171521[[#This Row],[Withdrawal]]),Q249+CkReg16_1815171521[[#This Row],[Deposit]],Q249-CkReg16_1815171521[[#This Row],[Withdrawal]])</f>
        <v>20192.73999999998</v>
      </c>
      <c r="R250" s="504">
        <v>1</v>
      </c>
    </row>
    <row r="251" spans="8:18" x14ac:dyDescent="0.3">
      <c r="H251" s="543"/>
      <c r="I251" s="544"/>
      <c r="J251" s="545"/>
      <c r="K251" s="545"/>
      <c r="L251" s="545"/>
      <c r="M251" s="546"/>
      <c r="N251" s="547"/>
      <c r="O251" s="451">
        <f>IF(ISBLANK(CkReg16_1815171521[[#This Row],[Withdrawal]]),O250+CkReg16_1815171521[[#This Row],[Deposit]],O250-CkReg16_1815171521[[#This Row],[Withdrawal]])</f>
        <v>11477.740000000005</v>
      </c>
      <c r="P251" s="548"/>
      <c r="Q251" s="451">
        <f>IF(ISBLANK(CkReg16_1815171521[[#This Row],[Withdrawal]]),Q250+CkReg16_1815171521[[#This Row],[Deposit]],Q250-CkReg16_1815171521[[#This Row],[Withdrawal]])</f>
        <v>20192.73999999998</v>
      </c>
      <c r="R251" s="548"/>
    </row>
    <row r="252" spans="8:18" x14ac:dyDescent="0.3">
      <c r="H252" s="389"/>
      <c r="I252" s="442"/>
      <c r="J252" s="238"/>
      <c r="K252" s="238"/>
      <c r="L252" s="238"/>
      <c r="M252" s="549">
        <f>SUM(M4:M251)</f>
        <v>30983.599999999995</v>
      </c>
      <c r="N252" s="275">
        <f>SUBTOTAL(109,CkReg16_1815171521[Deposit])</f>
        <v>42461.339999999967</v>
      </c>
      <c r="O252" s="275">
        <f>CkReg16_1815171521[[#Totals],[Deposit]]-CkReg16_1815171521[[#Totals],[Withdrawal]]</f>
        <v>11477.739999999972</v>
      </c>
      <c r="P252" s="439"/>
      <c r="Q252" s="393"/>
      <c r="R252" s="439"/>
    </row>
    <row r="253" spans="8:18" x14ac:dyDescent="0.3">
      <c r="M253" s="100"/>
    </row>
    <row r="254" spans="8:18" x14ac:dyDescent="0.3">
      <c r="M254" s="100"/>
    </row>
    <row r="255" spans="8:18" x14ac:dyDescent="0.3">
      <c r="L255" s="542"/>
      <c r="M255" s="99"/>
    </row>
    <row r="256" spans="8:18" x14ac:dyDescent="0.3">
      <c r="M256" s="100"/>
    </row>
    <row r="257" spans="13:18" x14ac:dyDescent="0.3">
      <c r="M257" s="100"/>
    </row>
    <row r="258" spans="13:18" x14ac:dyDescent="0.3">
      <c r="M258" s="100"/>
    </row>
    <row r="259" spans="13:18" x14ac:dyDescent="0.3">
      <c r="M259" s="100"/>
    </row>
    <row r="260" spans="13:18" x14ac:dyDescent="0.3">
      <c r="M260" s="100"/>
      <c r="P260" s="441"/>
    </row>
    <row r="261" spans="13:18" x14ac:dyDescent="0.3">
      <c r="P261" s="441"/>
    </row>
    <row r="262" spans="13:18" x14ac:dyDescent="0.3">
      <c r="P262" s="441"/>
      <c r="R262" s="441"/>
    </row>
    <row r="263" spans="13:18" x14ac:dyDescent="0.3">
      <c r="M263" s="99"/>
      <c r="P263" s="441"/>
      <c r="R263" s="441"/>
    </row>
    <row r="264" spans="13:18" x14ac:dyDescent="0.3">
      <c r="P264" s="441"/>
    </row>
    <row r="265" spans="13:18" x14ac:dyDescent="0.3">
      <c r="P265" s="441"/>
    </row>
    <row r="266" spans="13:18" x14ac:dyDescent="0.3">
      <c r="P266" s="441"/>
    </row>
    <row r="267" spans="13:18" x14ac:dyDescent="0.3">
      <c r="P267" s="441"/>
    </row>
    <row r="268" spans="13:18" x14ac:dyDescent="0.3">
      <c r="P268" s="441"/>
    </row>
    <row r="269" spans="13:18" x14ac:dyDescent="0.3">
      <c r="P269" s="441"/>
    </row>
    <row r="270" spans="13:18" x14ac:dyDescent="0.3">
      <c r="P270" s="441"/>
    </row>
    <row r="546" spans="8:13" x14ac:dyDescent="0.3">
      <c r="H546" s="96"/>
      <c r="J546" s="96"/>
      <c r="K546" s="96"/>
      <c r="L546" s="96"/>
      <c r="M546" s="96"/>
    </row>
  </sheetData>
  <mergeCells count="1">
    <mergeCell ref="B81:F86"/>
  </mergeCells>
  <conditionalFormatting sqref="N4:N58 O4:O251 Q4:Q251">
    <cfRule type="expression" dxfId="155" priority="87">
      <formula>N4&lt;0</formula>
    </cfRule>
  </conditionalFormatting>
  <conditionalFormatting sqref="C76:F76 F17:F75">
    <cfRule type="cellIs" dxfId="154" priority="86" operator="lessThan">
      <formula>0</formula>
    </cfRule>
  </conditionalFormatting>
  <conditionalFormatting sqref="N64:N66">
    <cfRule type="expression" dxfId="153" priority="84">
      <formula>N64&lt;0</formula>
    </cfRule>
  </conditionalFormatting>
  <conditionalFormatting sqref="N54">
    <cfRule type="expression" dxfId="152" priority="81">
      <formula>N54&lt;0</formula>
    </cfRule>
  </conditionalFormatting>
  <conditionalFormatting sqref="N47">
    <cfRule type="expression" dxfId="151" priority="80">
      <formula>N47&lt;0</formula>
    </cfRule>
  </conditionalFormatting>
  <conditionalFormatting sqref="N53">
    <cfRule type="expression" dxfId="150" priority="76">
      <formula>N53&lt;0</formula>
    </cfRule>
  </conditionalFormatting>
  <conditionalFormatting sqref="N53">
    <cfRule type="expression" dxfId="149" priority="54">
      <formula>N53&lt;0</formula>
    </cfRule>
  </conditionalFormatting>
  <conditionalFormatting sqref="N53">
    <cfRule type="expression" dxfId="148" priority="72">
      <formula>N53&lt;0</formula>
    </cfRule>
  </conditionalFormatting>
  <conditionalFormatting sqref="N52">
    <cfRule type="expression" dxfId="147" priority="70">
      <formula>N52&lt;0</formula>
    </cfRule>
  </conditionalFormatting>
  <conditionalFormatting sqref="N48">
    <cfRule type="expression" dxfId="146" priority="69">
      <formula>N48&lt;0</formula>
    </cfRule>
  </conditionalFormatting>
  <conditionalFormatting sqref="N59:N61">
    <cfRule type="expression" dxfId="145" priority="68">
      <formula>N59&lt;0</formula>
    </cfRule>
  </conditionalFormatting>
  <conditionalFormatting sqref="N9:N10">
    <cfRule type="expression" dxfId="144" priority="67">
      <formula>N9&lt;0</formula>
    </cfRule>
  </conditionalFormatting>
  <conditionalFormatting sqref="N51">
    <cfRule type="expression" dxfId="143" priority="66">
      <formula>N51&lt;0</formula>
    </cfRule>
  </conditionalFormatting>
  <conditionalFormatting sqref="N50">
    <cfRule type="expression" dxfId="142" priority="63">
      <formula>N50&lt;0</formula>
    </cfRule>
  </conditionalFormatting>
  <conditionalFormatting sqref="N4">
    <cfRule type="expression" dxfId="141" priority="62">
      <formula>N4&lt;0</formula>
    </cfRule>
  </conditionalFormatting>
  <conditionalFormatting sqref="N4">
    <cfRule type="expression" dxfId="140" priority="61">
      <formula>N4&lt;0</formula>
    </cfRule>
  </conditionalFormatting>
  <conditionalFormatting sqref="N50">
    <cfRule type="expression" dxfId="139" priority="59">
      <formula>N50&lt;0</formula>
    </cfRule>
  </conditionalFormatting>
  <conditionalFormatting sqref="N52">
    <cfRule type="expression" dxfId="138" priority="52">
      <formula>N52&lt;0</formula>
    </cfRule>
  </conditionalFormatting>
  <conditionalFormatting sqref="N52">
    <cfRule type="expression" dxfId="137" priority="50">
      <formula>N52&lt;0</formula>
    </cfRule>
  </conditionalFormatting>
  <conditionalFormatting sqref="N50">
    <cfRule type="expression" dxfId="136" priority="47">
      <formula>N50&lt;0</formula>
    </cfRule>
  </conditionalFormatting>
  <conditionalFormatting sqref="N51">
    <cfRule type="expression" dxfId="135" priority="40">
      <formula>N51&lt;0</formula>
    </cfRule>
  </conditionalFormatting>
  <conditionalFormatting sqref="N49">
    <cfRule type="expression" dxfId="134" priority="25">
      <formula>N49&lt;0</formula>
    </cfRule>
  </conditionalFormatting>
  <conditionalFormatting sqref="N51">
    <cfRule type="expression" dxfId="133" priority="36">
      <formula>N51&lt;0</formula>
    </cfRule>
  </conditionalFormatting>
  <conditionalFormatting sqref="N50">
    <cfRule type="expression" dxfId="132" priority="34">
      <formula>N50&lt;0</formula>
    </cfRule>
  </conditionalFormatting>
  <conditionalFormatting sqref="N52">
    <cfRule type="expression" dxfId="131" priority="30">
      <formula>N52&lt;0</formula>
    </cfRule>
  </conditionalFormatting>
  <conditionalFormatting sqref="N51">
    <cfRule type="expression" dxfId="130" priority="23">
      <formula>N51&lt;0</formula>
    </cfRule>
  </conditionalFormatting>
  <conditionalFormatting sqref="N50">
    <cfRule type="expression" dxfId="129" priority="21">
      <formula>N50&lt;0</formula>
    </cfRule>
  </conditionalFormatting>
  <conditionalFormatting sqref="N51">
    <cfRule type="expression" dxfId="128" priority="12">
      <formula>N51&lt;0</formula>
    </cfRule>
  </conditionalFormatting>
  <conditionalFormatting sqref="N50">
    <cfRule type="expression" dxfId="127" priority="19">
      <formula>N50&lt;0</formula>
    </cfRule>
  </conditionalFormatting>
  <conditionalFormatting sqref="N54">
    <cfRule type="expression" dxfId="126" priority="16">
      <formula>N54&lt;0</formula>
    </cfRule>
  </conditionalFormatting>
  <conditionalFormatting sqref="F18:F75">
    <cfRule type="cellIs" dxfId="125" priority="9" operator="greaterThan">
      <formula>0</formula>
    </cfRule>
  </conditionalFormatting>
  <conditionalFormatting sqref="R4:R250">
    <cfRule type="cellIs" dxfId="124" priority="7" operator="greaterThan">
      <formula>1</formula>
    </cfRule>
  </conditionalFormatting>
  <conditionalFormatting sqref="N3:O3 Q3">
    <cfRule type="expression" dxfId="123" priority="4">
      <formula>N3&lt;0</formula>
    </cfRule>
  </conditionalFormatting>
  <conditionalFormatting sqref="R3">
    <cfRule type="cellIs" dxfId="122" priority="3" operator="greaterThan">
      <formula>1</formula>
    </cfRule>
  </conditionalFormatting>
  <conditionalFormatting sqref="H3">
    <cfRule type="duplicateValues" dxfId="121" priority="5"/>
  </conditionalFormatting>
  <conditionalFormatting sqref="H4:H250">
    <cfRule type="duplicateValues" dxfId="120" priority="144"/>
  </conditionalFormatting>
  <dataValidations count="1">
    <dataValidation type="list" allowBlank="1" showInputMessage="1" showErrorMessage="1" sqref="L236:L250 L3:L234" xr:uid="{852593F0-B3A7-47C9-A04E-E701E9C09AC8}">
      <formula1>Category</formula1>
    </dataValidation>
  </dataValidations>
  <printOptions horizontalCentered="1"/>
  <pageMargins left="0.2" right="0.1" top="0.25" bottom="0.25" header="0.3" footer="0.3"/>
  <pageSetup scale="83" fitToWidth="0" orientation="portrait" horizontalDpi="4294967293" verticalDpi="360" r:id="rId1"/>
  <drawing r:id="rId2"/>
  <tableParts count="2">
    <tablePart r:id="rId3"/>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62EBC-C6A8-4ECC-AF8B-C6FBF257E0E0}">
  <sheetPr>
    <tabColor rgb="FFFF0000"/>
  </sheetPr>
  <dimension ref="A1:G89"/>
  <sheetViews>
    <sheetView workbookViewId="0">
      <selection activeCell="G59" sqref="G59"/>
    </sheetView>
  </sheetViews>
  <sheetFormatPr defaultColWidth="9.109375" defaultRowHeight="13.8" x14ac:dyDescent="0.3"/>
  <cols>
    <col min="1" max="1" width="27.33203125" style="519" bestFit="1" customWidth="1"/>
    <col min="2" max="2" width="10.44140625" style="511" bestFit="1" customWidth="1"/>
    <col min="3" max="3" width="14.44140625" style="512" bestFit="1" customWidth="1"/>
    <col min="4" max="4" width="7" style="512" bestFit="1" customWidth="1"/>
    <col min="5" max="5" width="19" style="512" bestFit="1" customWidth="1"/>
    <col min="6" max="6" width="28.44140625" style="512" bestFit="1" customWidth="1"/>
    <col min="7" max="7" width="9.109375" style="512" customWidth="1"/>
    <col min="8" max="8" width="23.44140625" style="512" customWidth="1"/>
    <col min="9" max="9" width="9.88671875" style="512" bestFit="1" customWidth="1"/>
    <col min="10" max="10" width="9.109375" style="512"/>
    <col min="11" max="11" width="26.44140625" style="512" bestFit="1" customWidth="1"/>
    <col min="12" max="12" width="9.109375" style="512"/>
    <col min="13" max="13" width="14.44140625" style="512" bestFit="1" customWidth="1"/>
    <col min="14" max="14" width="28.44140625" style="512" bestFit="1" customWidth="1"/>
    <col min="15" max="15" width="32.44140625" style="512" customWidth="1"/>
    <col min="16" max="16384" width="9.109375" style="512"/>
  </cols>
  <sheetData>
    <row r="1" spans="1:6" ht="15.6" x14ac:dyDescent="0.3">
      <c r="A1" s="510" t="s">
        <v>395</v>
      </c>
    </row>
    <row r="2" spans="1:6" ht="14.4" x14ac:dyDescent="0.3">
      <c r="A2" s="513" t="s">
        <v>1</v>
      </c>
      <c r="B2" s="514" t="s">
        <v>978</v>
      </c>
      <c r="C2" s="515" t="s">
        <v>979</v>
      </c>
      <c r="D2" s="515" t="s">
        <v>509</v>
      </c>
      <c r="E2" s="515" t="s">
        <v>980</v>
      </c>
      <c r="F2" s="515" t="s">
        <v>3</v>
      </c>
    </row>
    <row r="3" spans="1:6" x14ac:dyDescent="0.3">
      <c r="A3" s="516">
        <v>44210</v>
      </c>
      <c r="B3" s="517">
        <v>0.80185185185185182</v>
      </c>
      <c r="C3" s="518">
        <v>5</v>
      </c>
      <c r="D3" s="518">
        <v>-0.45</v>
      </c>
      <c r="E3" s="518">
        <v>4.55</v>
      </c>
      <c r="F3" s="518">
        <f>+E3</f>
        <v>4.55</v>
      </c>
    </row>
    <row r="4" spans="1:6" x14ac:dyDescent="0.3">
      <c r="A4" s="519">
        <v>44292</v>
      </c>
      <c r="B4" s="520" t="s">
        <v>1038</v>
      </c>
      <c r="C4" s="521"/>
      <c r="D4" s="521"/>
      <c r="E4" s="521">
        <v>-4.55</v>
      </c>
      <c r="F4" s="521">
        <f t="shared" ref="F4" si="0">+F3+E4</f>
        <v>0</v>
      </c>
    </row>
    <row r="10" spans="1:6" ht="15.6" x14ac:dyDescent="0.3">
      <c r="A10" s="510" t="s">
        <v>981</v>
      </c>
    </row>
    <row r="11" spans="1:6" ht="14.4" x14ac:dyDescent="0.3">
      <c r="A11" s="513" t="s">
        <v>1</v>
      </c>
      <c r="B11" s="514" t="s">
        <v>978</v>
      </c>
      <c r="C11" s="515" t="s">
        <v>979</v>
      </c>
      <c r="D11" s="515" t="s">
        <v>509</v>
      </c>
      <c r="E11" s="515" t="s">
        <v>980</v>
      </c>
      <c r="F11" s="515" t="s">
        <v>3</v>
      </c>
    </row>
    <row r="12" spans="1:6" x14ac:dyDescent="0.3">
      <c r="A12" s="519">
        <v>44178</v>
      </c>
      <c r="B12" s="511">
        <v>0.6881828703703704</v>
      </c>
      <c r="C12" s="521">
        <v>5</v>
      </c>
      <c r="D12" s="521">
        <v>-0.45</v>
      </c>
      <c r="E12" s="521">
        <v>4.55</v>
      </c>
      <c r="F12" s="521">
        <f>+E12</f>
        <v>4.55</v>
      </c>
    </row>
    <row r="13" spans="1:6" x14ac:dyDescent="0.3">
      <c r="A13" s="519">
        <v>44185</v>
      </c>
      <c r="B13" s="511">
        <v>0.69251157407407404</v>
      </c>
      <c r="C13" s="521">
        <v>5</v>
      </c>
      <c r="D13" s="521">
        <v>-0.45</v>
      </c>
      <c r="E13" s="521">
        <v>4.55</v>
      </c>
      <c r="F13" s="521">
        <f t="shared" ref="F13:F28" si="1">+F12+E13</f>
        <v>9.1</v>
      </c>
    </row>
    <row r="14" spans="1:6" x14ac:dyDescent="0.3">
      <c r="A14" s="519">
        <v>44185</v>
      </c>
      <c r="B14" s="511">
        <v>0.6915972222222222</v>
      </c>
      <c r="C14" s="521">
        <v>5</v>
      </c>
      <c r="D14" s="521">
        <v>-0.45</v>
      </c>
      <c r="E14" s="521">
        <v>4.55</v>
      </c>
      <c r="F14" s="521">
        <f t="shared" si="1"/>
        <v>13.649999999999999</v>
      </c>
    </row>
    <row r="15" spans="1:6" x14ac:dyDescent="0.3">
      <c r="A15" s="519">
        <v>44185</v>
      </c>
      <c r="B15" s="511">
        <v>0.6915972222222222</v>
      </c>
      <c r="C15" s="521">
        <v>5</v>
      </c>
      <c r="D15" s="521">
        <v>-0.45</v>
      </c>
      <c r="E15" s="521">
        <v>4.55</v>
      </c>
      <c r="F15" s="521">
        <f t="shared" si="1"/>
        <v>18.2</v>
      </c>
    </row>
    <row r="16" spans="1:6" x14ac:dyDescent="0.3">
      <c r="A16" s="519">
        <v>44185</v>
      </c>
      <c r="B16" s="511">
        <v>0.68054398148148154</v>
      </c>
      <c r="C16" s="521">
        <v>5</v>
      </c>
      <c r="D16" s="521">
        <v>-0.45</v>
      </c>
      <c r="E16" s="521">
        <v>4.55</v>
      </c>
      <c r="F16" s="521">
        <f t="shared" si="1"/>
        <v>22.75</v>
      </c>
    </row>
    <row r="17" spans="1:7" x14ac:dyDescent="0.3">
      <c r="A17" s="519">
        <v>44192</v>
      </c>
      <c r="B17" s="511">
        <v>0.68495370370370379</v>
      </c>
      <c r="C17" s="521">
        <v>5</v>
      </c>
      <c r="D17" s="521">
        <v>-0.45</v>
      </c>
      <c r="E17" s="521">
        <v>4.55</v>
      </c>
      <c r="F17" s="521">
        <f t="shared" si="1"/>
        <v>27.3</v>
      </c>
    </row>
    <row r="18" spans="1:7" x14ac:dyDescent="0.3">
      <c r="A18" s="519">
        <v>44192</v>
      </c>
      <c r="B18" s="511">
        <v>0.67623842592592587</v>
      </c>
      <c r="C18" s="521">
        <v>5</v>
      </c>
      <c r="D18" s="521">
        <v>-0.45</v>
      </c>
      <c r="E18" s="521">
        <v>4.55</v>
      </c>
      <c r="F18" s="521">
        <f t="shared" si="1"/>
        <v>31.85</v>
      </c>
    </row>
    <row r="19" spans="1:7" x14ac:dyDescent="0.3">
      <c r="A19" s="519">
        <v>44199</v>
      </c>
      <c r="B19" s="511">
        <v>0.67518518518518522</v>
      </c>
      <c r="C19" s="521">
        <v>5</v>
      </c>
      <c r="D19" s="521">
        <v>-0.45</v>
      </c>
      <c r="E19" s="521">
        <v>4.55</v>
      </c>
      <c r="F19" s="521">
        <f t="shared" si="1"/>
        <v>36.4</v>
      </c>
    </row>
    <row r="20" spans="1:7" x14ac:dyDescent="0.3">
      <c r="A20" s="519">
        <v>44199</v>
      </c>
      <c r="B20" s="511">
        <v>0.67511574074074077</v>
      </c>
      <c r="C20" s="521">
        <v>5</v>
      </c>
      <c r="D20" s="521">
        <v>-0.45</v>
      </c>
      <c r="E20" s="521">
        <v>4.55</v>
      </c>
      <c r="F20" s="521">
        <f t="shared" si="1"/>
        <v>40.949999999999996</v>
      </c>
      <c r="G20" s="521"/>
    </row>
    <row r="21" spans="1:7" x14ac:dyDescent="0.3">
      <c r="A21" s="519">
        <v>44199</v>
      </c>
      <c r="B21" s="511">
        <v>0.66982638888888879</v>
      </c>
      <c r="C21" s="521">
        <v>5</v>
      </c>
      <c r="D21" s="521">
        <v>-0.45</v>
      </c>
      <c r="E21" s="521">
        <v>4.55</v>
      </c>
      <c r="F21" s="521">
        <f t="shared" si="1"/>
        <v>45.499999999999993</v>
      </c>
    </row>
    <row r="22" spans="1:7" x14ac:dyDescent="0.3">
      <c r="A22" s="519">
        <v>44213</v>
      </c>
      <c r="B22" s="511">
        <v>0.69646990740740744</v>
      </c>
      <c r="C22" s="521">
        <v>5</v>
      </c>
      <c r="D22" s="521">
        <v>-0.45</v>
      </c>
      <c r="E22" s="521">
        <v>4.55</v>
      </c>
      <c r="F22" s="521">
        <f t="shared" si="1"/>
        <v>50.04999999999999</v>
      </c>
    </row>
    <row r="23" spans="1:7" x14ac:dyDescent="0.3">
      <c r="A23" s="519">
        <v>44213</v>
      </c>
      <c r="B23" s="511">
        <v>0.67660879629629633</v>
      </c>
      <c r="C23" s="521">
        <v>5</v>
      </c>
      <c r="D23" s="521">
        <v>-0.45</v>
      </c>
      <c r="E23" s="521">
        <v>4.55</v>
      </c>
      <c r="F23" s="521">
        <f t="shared" si="1"/>
        <v>54.599999999999987</v>
      </c>
    </row>
    <row r="24" spans="1:7" x14ac:dyDescent="0.3">
      <c r="A24" s="519">
        <v>44213</v>
      </c>
      <c r="B24" s="511">
        <v>0.67640046296296286</v>
      </c>
      <c r="C24" s="521">
        <v>5</v>
      </c>
      <c r="D24" s="521">
        <v>-0.45</v>
      </c>
      <c r="E24" s="521">
        <v>4.55</v>
      </c>
      <c r="F24" s="521">
        <f t="shared" si="1"/>
        <v>59.149999999999984</v>
      </c>
    </row>
    <row r="25" spans="1:7" x14ac:dyDescent="0.3">
      <c r="A25" s="519">
        <v>44213</v>
      </c>
      <c r="B25" s="511">
        <v>0.67636574074074074</v>
      </c>
      <c r="C25" s="521">
        <v>5</v>
      </c>
      <c r="D25" s="521">
        <v>-0.45</v>
      </c>
      <c r="E25" s="521">
        <v>4.55</v>
      </c>
      <c r="F25" s="521">
        <f t="shared" si="1"/>
        <v>63.699999999999982</v>
      </c>
    </row>
    <row r="26" spans="1:7" x14ac:dyDescent="0.3">
      <c r="A26" s="519">
        <v>44227</v>
      </c>
      <c r="B26" s="511">
        <v>0.67591435185185178</v>
      </c>
      <c r="C26" s="521">
        <v>10</v>
      </c>
      <c r="D26" s="521">
        <v>-0.59</v>
      </c>
      <c r="E26" s="521">
        <v>9.41</v>
      </c>
      <c r="F26" s="521">
        <f t="shared" si="1"/>
        <v>73.109999999999985</v>
      </c>
    </row>
    <row r="27" spans="1:7" x14ac:dyDescent="0.3">
      <c r="A27" s="519">
        <v>44227</v>
      </c>
      <c r="B27" s="511">
        <v>0.67465277777777777</v>
      </c>
      <c r="C27" s="521">
        <v>5</v>
      </c>
      <c r="D27" s="521">
        <v>-0.45</v>
      </c>
      <c r="E27" s="521">
        <v>4.55</v>
      </c>
      <c r="F27" s="521">
        <f t="shared" si="1"/>
        <v>77.659999999999982</v>
      </c>
    </row>
    <row r="28" spans="1:7" x14ac:dyDescent="0.3">
      <c r="A28" s="512" t="s">
        <v>990</v>
      </c>
      <c r="B28" s="522" t="s">
        <v>998</v>
      </c>
      <c r="C28" s="521">
        <v>5</v>
      </c>
      <c r="D28" s="521">
        <v>-0.45</v>
      </c>
      <c r="E28" s="521">
        <v>4.55</v>
      </c>
      <c r="F28" s="521">
        <f t="shared" si="1"/>
        <v>82.20999999999998</v>
      </c>
    </row>
    <row r="29" spans="1:7" x14ac:dyDescent="0.3">
      <c r="A29" s="512" t="s">
        <v>990</v>
      </c>
      <c r="B29" s="522" t="s">
        <v>998</v>
      </c>
      <c r="C29" s="521">
        <v>5</v>
      </c>
      <c r="D29" s="521">
        <v>-0.45</v>
      </c>
      <c r="E29" s="521">
        <v>4.55</v>
      </c>
      <c r="F29" s="512">
        <f t="shared" ref="F29:F54" si="2">+F28+E29</f>
        <v>86.759999999999977</v>
      </c>
    </row>
    <row r="30" spans="1:7" x14ac:dyDescent="0.3">
      <c r="A30" s="512" t="s">
        <v>990</v>
      </c>
      <c r="B30" s="523" t="s">
        <v>999</v>
      </c>
      <c r="C30" s="521">
        <v>10</v>
      </c>
      <c r="D30" s="521">
        <v>-0.59</v>
      </c>
      <c r="E30" s="521">
        <v>9.41</v>
      </c>
      <c r="F30" s="512">
        <f t="shared" si="2"/>
        <v>96.169999999999973</v>
      </c>
    </row>
    <row r="31" spans="1:7" x14ac:dyDescent="0.3">
      <c r="A31" s="512" t="s">
        <v>990</v>
      </c>
      <c r="B31" s="511">
        <v>0.68055555555555547</v>
      </c>
      <c r="C31" s="521">
        <v>5</v>
      </c>
      <c r="D31" s="521">
        <v>-0.45</v>
      </c>
      <c r="E31" s="521">
        <v>4.55</v>
      </c>
      <c r="F31" s="512">
        <f t="shared" si="2"/>
        <v>100.71999999999997</v>
      </c>
    </row>
    <row r="32" spans="1:7" x14ac:dyDescent="0.3">
      <c r="A32" s="512" t="s">
        <v>991</v>
      </c>
      <c r="B32" s="511">
        <v>0.68055555555555547</v>
      </c>
      <c r="C32" s="521">
        <v>5</v>
      </c>
      <c r="D32" s="521">
        <v>-0.45</v>
      </c>
      <c r="E32" s="521">
        <v>4.55</v>
      </c>
      <c r="F32" s="512">
        <f t="shared" si="2"/>
        <v>105.26999999999997</v>
      </c>
    </row>
    <row r="33" spans="1:7" x14ac:dyDescent="0.3">
      <c r="A33" s="512" t="s">
        <v>992</v>
      </c>
      <c r="B33" s="511">
        <v>0.68055555555555547</v>
      </c>
      <c r="C33" s="521">
        <v>5</v>
      </c>
      <c r="D33" s="521">
        <v>-0.45</v>
      </c>
      <c r="E33" s="521">
        <v>4.55</v>
      </c>
      <c r="F33" s="512">
        <f t="shared" si="2"/>
        <v>109.81999999999996</v>
      </c>
    </row>
    <row r="34" spans="1:7" x14ac:dyDescent="0.3">
      <c r="A34" s="512" t="s">
        <v>992</v>
      </c>
      <c r="B34" s="511">
        <v>0.68055555555555547</v>
      </c>
      <c r="C34" s="521">
        <v>5</v>
      </c>
      <c r="D34" s="521">
        <v>-0.45</v>
      </c>
      <c r="E34" s="521">
        <v>4.55</v>
      </c>
      <c r="F34" s="512">
        <f t="shared" si="2"/>
        <v>114.36999999999996</v>
      </c>
    </row>
    <row r="35" spans="1:7" x14ac:dyDescent="0.3">
      <c r="A35" s="512" t="s">
        <v>993</v>
      </c>
      <c r="B35" s="511">
        <v>0.68055555555555547</v>
      </c>
      <c r="C35" s="521">
        <v>5</v>
      </c>
      <c r="D35" s="521">
        <v>-0.45</v>
      </c>
      <c r="E35" s="521">
        <v>4.55</v>
      </c>
      <c r="F35" s="512">
        <f t="shared" si="2"/>
        <v>118.91999999999996</v>
      </c>
    </row>
    <row r="36" spans="1:7" x14ac:dyDescent="0.3">
      <c r="A36" s="512" t="s">
        <v>994</v>
      </c>
      <c r="B36" s="511">
        <v>0.68055555555555547</v>
      </c>
      <c r="C36" s="521">
        <v>5</v>
      </c>
      <c r="D36" s="521">
        <v>-0.45</v>
      </c>
      <c r="E36" s="521">
        <v>4.55</v>
      </c>
      <c r="F36" s="512">
        <f t="shared" si="2"/>
        <v>123.46999999999996</v>
      </c>
    </row>
    <row r="37" spans="1:7" x14ac:dyDescent="0.3">
      <c r="A37" s="512" t="s">
        <v>995</v>
      </c>
      <c r="B37" s="511">
        <v>0.68055555555555547</v>
      </c>
      <c r="C37" s="521">
        <v>5</v>
      </c>
      <c r="D37" s="521">
        <v>-0.45</v>
      </c>
      <c r="E37" s="521">
        <v>4.55</v>
      </c>
      <c r="F37" s="512">
        <f t="shared" si="2"/>
        <v>128.01999999999995</v>
      </c>
    </row>
    <row r="38" spans="1:7" x14ac:dyDescent="0.3">
      <c r="A38" s="512" t="s">
        <v>996</v>
      </c>
      <c r="B38" s="511">
        <v>0.68055555555555547</v>
      </c>
      <c r="C38" s="521">
        <v>5</v>
      </c>
      <c r="D38" s="521">
        <v>-0.45</v>
      </c>
      <c r="E38" s="521">
        <v>4.55</v>
      </c>
      <c r="F38" s="512">
        <f t="shared" si="2"/>
        <v>132.56999999999996</v>
      </c>
    </row>
    <row r="39" spans="1:7" x14ac:dyDescent="0.3">
      <c r="A39" s="512" t="s">
        <v>997</v>
      </c>
      <c r="B39" s="511">
        <v>0.68055555555555547</v>
      </c>
      <c r="C39" s="521">
        <v>5</v>
      </c>
      <c r="D39" s="521">
        <v>-0.45</v>
      </c>
      <c r="E39" s="521">
        <v>4.55</v>
      </c>
      <c r="F39" s="512">
        <f t="shared" si="2"/>
        <v>137.11999999999998</v>
      </c>
    </row>
    <row r="40" spans="1:7" x14ac:dyDescent="0.3">
      <c r="A40" s="512" t="s">
        <v>997</v>
      </c>
      <c r="B40" s="511">
        <v>0.68055555555555547</v>
      </c>
      <c r="C40" s="521">
        <v>5</v>
      </c>
      <c r="D40" s="521">
        <v>-0.45</v>
      </c>
      <c r="E40" s="521">
        <v>4.55</v>
      </c>
      <c r="F40" s="512">
        <f t="shared" si="2"/>
        <v>141.66999999999999</v>
      </c>
    </row>
    <row r="41" spans="1:7" x14ac:dyDescent="0.3">
      <c r="A41" s="512" t="s">
        <v>997</v>
      </c>
      <c r="B41" s="511">
        <v>0.68055555555555547</v>
      </c>
      <c r="C41" s="521">
        <v>10</v>
      </c>
      <c r="D41" s="521">
        <v>-0.59</v>
      </c>
      <c r="E41" s="521">
        <v>9.41</v>
      </c>
      <c r="F41" s="512">
        <f t="shared" si="2"/>
        <v>151.07999999999998</v>
      </c>
    </row>
    <row r="42" spans="1:7" x14ac:dyDescent="0.3">
      <c r="A42" s="512" t="s">
        <v>997</v>
      </c>
      <c r="B42" s="511">
        <v>0.68055555555555547</v>
      </c>
      <c r="C42" s="521">
        <v>5</v>
      </c>
      <c r="D42" s="521">
        <v>-0.45</v>
      </c>
      <c r="E42" s="521">
        <v>4.55</v>
      </c>
      <c r="F42" s="512">
        <f t="shared" si="2"/>
        <v>155.63</v>
      </c>
      <c r="G42" s="521"/>
    </row>
    <row r="43" spans="1:7" x14ac:dyDescent="0.3">
      <c r="A43" s="519" t="s">
        <v>1013</v>
      </c>
      <c r="B43" s="511">
        <v>0.68194444444444446</v>
      </c>
      <c r="C43" s="521">
        <v>5</v>
      </c>
      <c r="D43" s="521">
        <v>-0.45</v>
      </c>
      <c r="E43" s="512">
        <v>4.55</v>
      </c>
      <c r="F43" s="512">
        <f t="shared" si="2"/>
        <v>160.18</v>
      </c>
      <c r="G43" s="521"/>
    </row>
    <row r="44" spans="1:7" x14ac:dyDescent="0.3">
      <c r="A44" s="519" t="s">
        <v>1015</v>
      </c>
      <c r="B44" s="511">
        <v>0.67569444444444438</v>
      </c>
      <c r="C44" s="521">
        <v>5</v>
      </c>
      <c r="D44" s="521">
        <v>-0.45</v>
      </c>
      <c r="E44" s="512">
        <v>4.55</v>
      </c>
      <c r="F44" s="512">
        <f t="shared" si="2"/>
        <v>164.73000000000002</v>
      </c>
    </row>
    <row r="45" spans="1:7" x14ac:dyDescent="0.3">
      <c r="A45" s="519" t="s">
        <v>1015</v>
      </c>
      <c r="B45" s="511">
        <v>0.91111111111111109</v>
      </c>
      <c r="C45" s="521">
        <v>10</v>
      </c>
      <c r="D45" s="521">
        <v>-0.59</v>
      </c>
      <c r="E45" s="512">
        <v>9.41</v>
      </c>
      <c r="F45" s="512">
        <f t="shared" si="2"/>
        <v>174.14000000000001</v>
      </c>
    </row>
    <row r="46" spans="1:7" x14ac:dyDescent="0.3">
      <c r="A46" s="519" t="s">
        <v>1016</v>
      </c>
      <c r="B46" s="511">
        <v>0.67361111111111116</v>
      </c>
      <c r="C46" s="521">
        <v>5</v>
      </c>
      <c r="D46" s="521">
        <v>-0.45</v>
      </c>
      <c r="E46" s="512">
        <v>4.55</v>
      </c>
      <c r="F46" s="512">
        <f t="shared" si="2"/>
        <v>178.69000000000003</v>
      </c>
    </row>
    <row r="47" spans="1:7" x14ac:dyDescent="0.3">
      <c r="A47" s="519" t="s">
        <v>1017</v>
      </c>
      <c r="B47" s="511">
        <v>0.66666666666666663</v>
      </c>
      <c r="C47" s="521">
        <v>5</v>
      </c>
      <c r="D47" s="521">
        <v>-0.45</v>
      </c>
      <c r="E47" s="512">
        <v>4.55</v>
      </c>
      <c r="F47" s="512">
        <f t="shared" si="2"/>
        <v>183.24000000000004</v>
      </c>
    </row>
    <row r="48" spans="1:7" x14ac:dyDescent="0.3">
      <c r="A48" s="519" t="s">
        <v>1017</v>
      </c>
      <c r="B48" s="511">
        <v>0.67222222222222217</v>
      </c>
      <c r="C48" s="521">
        <v>5</v>
      </c>
      <c r="D48" s="521">
        <v>-0.45</v>
      </c>
      <c r="E48" s="512">
        <v>4.55</v>
      </c>
      <c r="F48" s="512">
        <f t="shared" si="2"/>
        <v>187.79000000000005</v>
      </c>
    </row>
    <row r="49" spans="1:6" x14ac:dyDescent="0.3">
      <c r="A49" s="519" t="s">
        <v>1017</v>
      </c>
      <c r="B49" s="511">
        <v>0.7270833333333333</v>
      </c>
      <c r="C49" s="521">
        <v>10</v>
      </c>
      <c r="D49" s="521">
        <v>-0.59</v>
      </c>
      <c r="E49" s="512">
        <v>9.41</v>
      </c>
      <c r="F49" s="512">
        <f t="shared" si="2"/>
        <v>197.20000000000005</v>
      </c>
    </row>
    <row r="50" spans="1:6" x14ac:dyDescent="0.3">
      <c r="A50" s="519" t="s">
        <v>1018</v>
      </c>
      <c r="B50" s="511">
        <v>0.67083333333333339</v>
      </c>
      <c r="C50" s="521">
        <v>5</v>
      </c>
      <c r="D50" s="521">
        <v>-0.45</v>
      </c>
      <c r="E50" s="512">
        <v>4.55</v>
      </c>
      <c r="F50" s="512">
        <f t="shared" si="2"/>
        <v>201.75000000000006</v>
      </c>
    </row>
    <row r="51" spans="1:6" x14ac:dyDescent="0.3">
      <c r="A51" s="519" t="s">
        <v>1018</v>
      </c>
      <c r="B51" s="511">
        <v>0.67361111111111116</v>
      </c>
      <c r="C51" s="521">
        <v>5</v>
      </c>
      <c r="D51" s="521">
        <v>-0.45</v>
      </c>
      <c r="E51" s="512">
        <v>4.55</v>
      </c>
      <c r="F51" s="512">
        <f t="shared" si="2"/>
        <v>206.30000000000007</v>
      </c>
    </row>
    <row r="52" spans="1:6" x14ac:dyDescent="0.3">
      <c r="A52" s="519" t="s">
        <v>1018</v>
      </c>
      <c r="B52" s="511">
        <v>0.67499999999999993</v>
      </c>
      <c r="C52" s="521">
        <v>5</v>
      </c>
      <c r="D52" s="521">
        <v>-0.45</v>
      </c>
      <c r="E52" s="512">
        <v>4.55</v>
      </c>
      <c r="F52" s="512">
        <f t="shared" si="2"/>
        <v>210.85000000000008</v>
      </c>
    </row>
    <row r="53" spans="1:6" x14ac:dyDescent="0.3">
      <c r="A53" s="519" t="s">
        <v>1019</v>
      </c>
      <c r="B53" s="511">
        <v>0.67847222222222225</v>
      </c>
      <c r="C53" s="521">
        <v>10</v>
      </c>
      <c r="D53" s="521">
        <v>-0.59</v>
      </c>
      <c r="E53" s="512">
        <v>9.41</v>
      </c>
      <c r="F53" s="512">
        <f t="shared" si="2"/>
        <v>220.26000000000008</v>
      </c>
    </row>
    <row r="54" spans="1:6" x14ac:dyDescent="0.3">
      <c r="A54" s="519">
        <v>44352</v>
      </c>
      <c r="B54" s="520" t="s">
        <v>1037</v>
      </c>
      <c r="C54" s="521"/>
      <c r="D54" s="521"/>
      <c r="E54" s="512">
        <v>-169.79</v>
      </c>
      <c r="F54" s="512">
        <f t="shared" si="2"/>
        <v>50.470000000000084</v>
      </c>
    </row>
    <row r="55" spans="1:6" x14ac:dyDescent="0.3">
      <c r="C55" s="521"/>
      <c r="D55" s="521"/>
    </row>
    <row r="56" spans="1:6" x14ac:dyDescent="0.3">
      <c r="D56" s="521"/>
    </row>
    <row r="57" spans="1:6" ht="15.6" x14ac:dyDescent="0.3">
      <c r="A57" s="510" t="s">
        <v>982</v>
      </c>
    </row>
    <row r="58" spans="1:6" ht="14.4" x14ac:dyDescent="0.3">
      <c r="A58" s="513" t="s">
        <v>1</v>
      </c>
      <c r="B58" s="514" t="s">
        <v>978</v>
      </c>
      <c r="C58" s="515" t="s">
        <v>979</v>
      </c>
      <c r="D58" s="515" t="s">
        <v>509</v>
      </c>
      <c r="E58" s="515" t="s">
        <v>980</v>
      </c>
      <c r="F58" s="515" t="s">
        <v>3</v>
      </c>
    </row>
    <row r="59" spans="1:6" x14ac:dyDescent="0.3">
      <c r="A59" s="519">
        <v>44185</v>
      </c>
      <c r="B59" s="511">
        <v>0.68535879629629637</v>
      </c>
      <c r="C59" s="521">
        <v>20</v>
      </c>
      <c r="D59" s="521">
        <v>-0.88</v>
      </c>
      <c r="E59" s="521">
        <v>19.12</v>
      </c>
      <c r="F59" s="521">
        <f>+E59</f>
        <v>19.12</v>
      </c>
    </row>
    <row r="60" spans="1:6" x14ac:dyDescent="0.3">
      <c r="A60" s="519">
        <v>44200</v>
      </c>
      <c r="B60" s="511">
        <v>0.80570601851851853</v>
      </c>
      <c r="C60" s="521">
        <v>5</v>
      </c>
      <c r="D60" s="521">
        <v>-0.45</v>
      </c>
      <c r="E60" s="521">
        <v>4.55</v>
      </c>
      <c r="F60" s="521">
        <f>+F59+E60</f>
        <v>23.67</v>
      </c>
    </row>
    <row r="61" spans="1:6" x14ac:dyDescent="0.3">
      <c r="A61" s="519">
        <v>44200</v>
      </c>
      <c r="B61" s="511">
        <v>0.80046296296296304</v>
      </c>
      <c r="C61" s="521">
        <v>10</v>
      </c>
      <c r="D61" s="521">
        <v>-0.59</v>
      </c>
      <c r="E61" s="521">
        <v>9.41</v>
      </c>
      <c r="F61" s="521">
        <f t="shared" ref="F61:F66" si="3">+F60+E61</f>
        <v>33.08</v>
      </c>
    </row>
    <row r="62" spans="1:6" x14ac:dyDescent="0.3">
      <c r="A62" s="519">
        <v>44207</v>
      </c>
      <c r="B62" s="511">
        <v>0.80467592592592585</v>
      </c>
      <c r="C62" s="521">
        <v>5</v>
      </c>
      <c r="D62" s="521">
        <v>-0.45</v>
      </c>
      <c r="E62" s="521">
        <v>4.55</v>
      </c>
      <c r="F62" s="521">
        <f t="shared" si="3"/>
        <v>37.629999999999995</v>
      </c>
    </row>
    <row r="63" spans="1:6" x14ac:dyDescent="0.3">
      <c r="A63" s="519">
        <v>44207</v>
      </c>
      <c r="B63" s="511">
        <v>0.80363425925925924</v>
      </c>
      <c r="C63" s="521">
        <v>10</v>
      </c>
      <c r="D63" s="521">
        <v>-0.59</v>
      </c>
      <c r="E63" s="521">
        <v>9.41</v>
      </c>
      <c r="F63" s="521">
        <f t="shared" si="3"/>
        <v>47.039999999999992</v>
      </c>
    </row>
    <row r="64" spans="1:6" x14ac:dyDescent="0.3">
      <c r="A64" s="519">
        <v>44214</v>
      </c>
      <c r="B64" s="511">
        <v>0.80190972222222223</v>
      </c>
      <c r="C64" s="521">
        <v>3</v>
      </c>
      <c r="D64" s="521">
        <v>-0.39</v>
      </c>
      <c r="E64" s="521">
        <v>2.61</v>
      </c>
      <c r="F64" s="521">
        <f t="shared" si="3"/>
        <v>49.649999999999991</v>
      </c>
    </row>
    <row r="65" spans="1:6" x14ac:dyDescent="0.3">
      <c r="A65" s="519">
        <v>44221</v>
      </c>
      <c r="B65" s="511">
        <v>0.7926157407407407</v>
      </c>
      <c r="C65" s="521">
        <v>5</v>
      </c>
      <c r="D65" s="521">
        <v>-0.45</v>
      </c>
      <c r="E65" s="521">
        <v>4.55</v>
      </c>
      <c r="F65" s="521">
        <f t="shared" si="3"/>
        <v>54.199999999999989</v>
      </c>
    </row>
    <row r="66" spans="1:6" x14ac:dyDescent="0.3">
      <c r="A66" s="519">
        <v>44230</v>
      </c>
      <c r="B66" s="511">
        <v>0.60069444444444442</v>
      </c>
      <c r="C66" s="521">
        <v>5</v>
      </c>
      <c r="D66" s="521">
        <v>-0.45</v>
      </c>
      <c r="E66" s="521">
        <v>4.55</v>
      </c>
      <c r="F66" s="521">
        <f t="shared" si="3"/>
        <v>58.749999999999986</v>
      </c>
    </row>
    <row r="67" spans="1:6" x14ac:dyDescent="0.3">
      <c r="A67" s="512" t="s">
        <v>1000</v>
      </c>
      <c r="B67" s="524">
        <v>0.79999999999999993</v>
      </c>
      <c r="C67" s="521">
        <v>2</v>
      </c>
      <c r="D67" s="521">
        <v>-0.36</v>
      </c>
      <c r="E67" s="521">
        <v>1.64</v>
      </c>
      <c r="F67" s="512">
        <f>+F66+E67</f>
        <v>60.389999999999986</v>
      </c>
    </row>
    <row r="68" spans="1:6" x14ac:dyDescent="0.3">
      <c r="A68" s="519" t="s">
        <v>1014</v>
      </c>
      <c r="B68" s="511">
        <v>0.79513888888888884</v>
      </c>
      <c r="C68" s="521">
        <v>5</v>
      </c>
      <c r="D68" s="521">
        <v>-0.45</v>
      </c>
      <c r="E68" s="521">
        <v>4.55</v>
      </c>
      <c r="F68" s="512">
        <f t="shared" ref="F68" si="4">+F67+E68</f>
        <v>64.939999999999984</v>
      </c>
    </row>
    <row r="69" spans="1:6" x14ac:dyDescent="0.3">
      <c r="D69" s="521"/>
      <c r="E69" s="521"/>
    </row>
    <row r="70" spans="1:6" x14ac:dyDescent="0.3">
      <c r="D70" s="521"/>
      <c r="E70" s="521"/>
    </row>
    <row r="71" spans="1:6" x14ac:dyDescent="0.3">
      <c r="D71" s="521"/>
      <c r="E71" s="521"/>
    </row>
    <row r="72" spans="1:6" x14ac:dyDescent="0.3">
      <c r="D72" s="521"/>
      <c r="E72" s="521"/>
    </row>
    <row r="73" spans="1:6" x14ac:dyDescent="0.3">
      <c r="D73" s="521"/>
      <c r="E73" s="521"/>
    </row>
    <row r="74" spans="1:6" x14ac:dyDescent="0.3">
      <c r="D74" s="521"/>
    </row>
    <row r="75" spans="1:6" ht="15.6" x14ac:dyDescent="0.3">
      <c r="A75" s="510" t="s">
        <v>1001</v>
      </c>
    </row>
    <row r="76" spans="1:6" ht="14.4" x14ac:dyDescent="0.3">
      <c r="A76" s="513" t="s">
        <v>1</v>
      </c>
      <c r="B76" s="514" t="s">
        <v>978</v>
      </c>
      <c r="C76" s="515" t="s">
        <v>979</v>
      </c>
      <c r="D76" s="515" t="s">
        <v>509</v>
      </c>
      <c r="E76" s="515" t="s">
        <v>980</v>
      </c>
      <c r="F76" s="515" t="s">
        <v>3</v>
      </c>
    </row>
    <row r="77" spans="1:6" x14ac:dyDescent="0.3">
      <c r="A77" s="519" t="s">
        <v>1002</v>
      </c>
      <c r="B77" s="511">
        <v>0.85277777777777775</v>
      </c>
      <c r="C77" s="521">
        <v>150</v>
      </c>
      <c r="D77" s="521">
        <v>-4.6500000000000004</v>
      </c>
      <c r="E77" s="521">
        <v>145.35</v>
      </c>
      <c r="F77" s="521">
        <f>+E77</f>
        <v>145.35</v>
      </c>
    </row>
    <row r="78" spans="1:6" x14ac:dyDescent="0.3">
      <c r="A78" s="519" t="s">
        <v>1012</v>
      </c>
      <c r="B78" s="511">
        <v>0.83194444444444438</v>
      </c>
      <c r="C78" s="521">
        <v>5</v>
      </c>
      <c r="D78" s="521">
        <v>-0.45</v>
      </c>
      <c r="E78" s="521">
        <v>4.55</v>
      </c>
      <c r="F78" s="521">
        <f t="shared" ref="F78:F79" si="5">+F77+E78</f>
        <v>149.9</v>
      </c>
    </row>
    <row r="79" spans="1:6" x14ac:dyDescent="0.3">
      <c r="A79" s="519">
        <v>44292</v>
      </c>
      <c r="B79" s="520" t="s">
        <v>1038</v>
      </c>
      <c r="C79" s="521"/>
      <c r="D79" s="521"/>
      <c r="E79" s="521">
        <v>-149.9</v>
      </c>
      <c r="F79" s="521">
        <f t="shared" si="5"/>
        <v>0</v>
      </c>
    </row>
    <row r="80" spans="1:6" x14ac:dyDescent="0.3">
      <c r="C80" s="521"/>
      <c r="D80" s="521"/>
      <c r="E80" s="521"/>
    </row>
    <row r="81" spans="3:5" x14ac:dyDescent="0.3">
      <c r="C81" s="521"/>
      <c r="D81" s="521"/>
      <c r="E81" s="521"/>
    </row>
    <row r="82" spans="3:5" x14ac:dyDescent="0.3">
      <c r="C82" s="521"/>
      <c r="D82" s="521"/>
      <c r="E82" s="521"/>
    </row>
    <row r="83" spans="3:5" x14ac:dyDescent="0.3">
      <c r="C83" s="521"/>
      <c r="D83" s="521"/>
      <c r="E83" s="521"/>
    </row>
    <row r="84" spans="3:5" x14ac:dyDescent="0.3">
      <c r="C84" s="521"/>
      <c r="D84" s="521"/>
      <c r="E84" s="521"/>
    </row>
    <row r="85" spans="3:5" x14ac:dyDescent="0.3">
      <c r="C85" s="521"/>
      <c r="D85" s="521"/>
      <c r="E85" s="521"/>
    </row>
    <row r="86" spans="3:5" x14ac:dyDescent="0.3">
      <c r="C86" s="521"/>
      <c r="D86" s="521"/>
      <c r="E86" s="521"/>
    </row>
    <row r="87" spans="3:5" x14ac:dyDescent="0.3">
      <c r="D87" s="521"/>
      <c r="E87" s="521"/>
    </row>
    <row r="88" spans="3:5" x14ac:dyDescent="0.3">
      <c r="E88" s="521"/>
    </row>
    <row r="89" spans="3:5" x14ac:dyDescent="0.3">
      <c r="E89" s="521"/>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4E821-B228-4494-B502-7C701CD8F009}">
  <sheetPr>
    <tabColor rgb="FFFFC000"/>
    <pageSetUpPr fitToPage="1"/>
  </sheetPr>
  <dimension ref="A1:M61"/>
  <sheetViews>
    <sheetView zoomScale="130" zoomScaleNormal="130" workbookViewId="0">
      <pane xSplit="1" ySplit="2" topLeftCell="B9" activePane="bottomRight" state="frozen"/>
      <selection activeCell="R36" sqref="R35:R36"/>
      <selection pane="topRight" activeCell="R36" sqref="R35:R36"/>
      <selection pane="bottomLeft" activeCell="R36" sqref="R35:R36"/>
      <selection pane="bottomRight" activeCell="G45" sqref="G45"/>
    </sheetView>
  </sheetViews>
  <sheetFormatPr defaultColWidth="9.109375" defaultRowHeight="14.4" x14ac:dyDescent="0.3"/>
  <cols>
    <col min="1" max="1" width="24.88671875" style="468" customWidth="1"/>
    <col min="2" max="5" width="12.44140625" style="474" customWidth="1"/>
    <col min="6" max="6" width="2.44140625" style="468" customWidth="1"/>
    <col min="7" max="7" width="12.44140625" style="474" customWidth="1"/>
    <col min="8" max="8" width="2.44140625" style="468" customWidth="1"/>
    <col min="9" max="10" width="12.44140625" style="474" customWidth="1"/>
    <col min="11" max="11" width="2.44140625" style="468" customWidth="1"/>
    <col min="12" max="12" width="12.44140625" style="474" customWidth="1"/>
    <col min="13" max="16384" width="9.109375" style="468"/>
  </cols>
  <sheetData>
    <row r="1" spans="1:13" ht="33" customHeight="1" x14ac:dyDescent="0.45">
      <c r="A1" s="477" t="s">
        <v>947</v>
      </c>
      <c r="B1" s="478"/>
      <c r="C1" s="478"/>
      <c r="D1" s="478"/>
      <c r="E1" s="478"/>
      <c r="G1" s="478"/>
      <c r="I1" s="478"/>
      <c r="J1" s="478"/>
      <c r="L1" s="478"/>
      <c r="M1" s="469"/>
    </row>
    <row r="2" spans="1:13" ht="28.8" x14ac:dyDescent="0.3">
      <c r="A2" s="479" t="s">
        <v>4</v>
      </c>
      <c r="B2" s="480" t="s">
        <v>949</v>
      </c>
      <c r="C2" s="480" t="s">
        <v>926</v>
      </c>
      <c r="D2" s="480" t="s">
        <v>871</v>
      </c>
      <c r="E2" s="481" t="s">
        <v>948</v>
      </c>
      <c r="G2" s="470" t="s">
        <v>862</v>
      </c>
      <c r="I2" s="486" t="s">
        <v>954</v>
      </c>
      <c r="J2" s="481" t="s">
        <v>860</v>
      </c>
      <c r="L2" s="470" t="s">
        <v>956</v>
      </c>
    </row>
    <row r="3" spans="1:13" x14ac:dyDescent="0.3">
      <c r="A3" s="482" t="s">
        <v>5</v>
      </c>
      <c r="B3" s="483">
        <f>+'Check Register 2020'!C18</f>
        <v>13761.47</v>
      </c>
      <c r="C3" s="484">
        <v>14273.3</v>
      </c>
      <c r="D3" s="484">
        <v>13761.47</v>
      </c>
      <c r="E3" s="485"/>
      <c r="G3" s="471"/>
      <c r="I3" s="487">
        <v>11477.740000000005</v>
      </c>
      <c r="J3" s="485">
        <v>0</v>
      </c>
      <c r="L3" s="471"/>
    </row>
    <row r="4" spans="1:13" x14ac:dyDescent="0.3">
      <c r="A4" s="482" t="s">
        <v>945</v>
      </c>
      <c r="B4" s="484"/>
      <c r="C4" s="484"/>
      <c r="D4" s="484"/>
      <c r="E4" s="485"/>
      <c r="G4" s="471"/>
      <c r="I4" s="487">
        <v>-2963.63</v>
      </c>
      <c r="J4" s="485"/>
      <c r="L4" s="471"/>
    </row>
    <row r="5" spans="1:13" x14ac:dyDescent="0.3">
      <c r="A5" s="482" t="s">
        <v>219</v>
      </c>
      <c r="B5" s="483">
        <v>382</v>
      </c>
      <c r="C5" s="484">
        <v>1150</v>
      </c>
      <c r="D5" s="484">
        <v>1150</v>
      </c>
      <c r="E5" s="485">
        <f>-B5+D5</f>
        <v>768</v>
      </c>
      <c r="G5" s="471"/>
      <c r="I5" s="487">
        <v>775</v>
      </c>
      <c r="J5" s="485">
        <f>-I5+C5</f>
        <v>375</v>
      </c>
      <c r="L5" s="471">
        <v>775</v>
      </c>
    </row>
    <row r="6" spans="1:13" x14ac:dyDescent="0.3">
      <c r="A6" s="482" t="s">
        <v>942</v>
      </c>
      <c r="B6" s="483"/>
      <c r="C6" s="484"/>
      <c r="D6" s="484"/>
      <c r="E6" s="485">
        <f t="shared" ref="E6:E38" si="0">-B6+D6</f>
        <v>0</v>
      </c>
      <c r="G6" s="471"/>
      <c r="I6" s="487">
        <v>0</v>
      </c>
      <c r="J6" s="485"/>
      <c r="L6" s="471">
        <v>0</v>
      </c>
    </row>
    <row r="7" spans="1:13" x14ac:dyDescent="0.3">
      <c r="A7" s="482" t="s">
        <v>572</v>
      </c>
      <c r="B7" s="483">
        <v>0</v>
      </c>
      <c r="C7" s="484">
        <v>0</v>
      </c>
      <c r="D7" s="484">
        <v>0</v>
      </c>
      <c r="E7" s="485">
        <f t="shared" si="0"/>
        <v>0</v>
      </c>
      <c r="G7" s="471"/>
      <c r="I7" s="487">
        <v>0</v>
      </c>
      <c r="J7" s="485">
        <f t="shared" ref="J7:J38" si="1">-I7+C7</f>
        <v>0</v>
      </c>
      <c r="L7" s="471">
        <v>0</v>
      </c>
    </row>
    <row r="8" spans="1:13" x14ac:dyDescent="0.3">
      <c r="A8" s="482" t="s">
        <v>571</v>
      </c>
      <c r="B8" s="483">
        <v>0</v>
      </c>
      <c r="C8" s="484">
        <v>0</v>
      </c>
      <c r="D8" s="484">
        <v>0</v>
      </c>
      <c r="E8" s="485">
        <f t="shared" si="0"/>
        <v>0</v>
      </c>
      <c r="G8" s="471"/>
      <c r="I8" s="487">
        <v>0</v>
      </c>
      <c r="J8" s="485">
        <f t="shared" si="1"/>
        <v>0</v>
      </c>
      <c r="L8" s="471">
        <v>0</v>
      </c>
    </row>
    <row r="9" spans="1:13" x14ac:dyDescent="0.3">
      <c r="A9" s="482" t="s">
        <v>33</v>
      </c>
      <c r="B9" s="483">
        <v>185</v>
      </c>
      <c r="C9" s="484">
        <v>1000</v>
      </c>
      <c r="D9" s="484">
        <v>1000</v>
      </c>
      <c r="E9" s="485">
        <f t="shared" si="0"/>
        <v>815</v>
      </c>
      <c r="G9" s="471"/>
      <c r="I9" s="487">
        <v>500</v>
      </c>
      <c r="J9" s="485">
        <f t="shared" si="1"/>
        <v>500</v>
      </c>
      <c r="L9" s="471">
        <v>500</v>
      </c>
    </row>
    <row r="10" spans="1:13" x14ac:dyDescent="0.3">
      <c r="A10" s="482" t="s">
        <v>34</v>
      </c>
      <c r="B10" s="483">
        <v>-216.14000000000001</v>
      </c>
      <c r="C10" s="484">
        <v>-1500</v>
      </c>
      <c r="D10" s="484">
        <v>-1500</v>
      </c>
      <c r="E10" s="485">
        <f t="shared" si="0"/>
        <v>-1283.8599999999999</v>
      </c>
      <c r="G10" s="471"/>
      <c r="I10" s="487">
        <v>-1250</v>
      </c>
      <c r="J10" s="485">
        <f t="shared" si="1"/>
        <v>-250</v>
      </c>
      <c r="L10" s="471">
        <v>-1250</v>
      </c>
    </row>
    <row r="11" spans="1:13" x14ac:dyDescent="0.3">
      <c r="A11" s="482" t="s">
        <v>37</v>
      </c>
      <c r="B11" s="483">
        <v>0</v>
      </c>
      <c r="C11" s="484">
        <v>-100</v>
      </c>
      <c r="D11" s="484">
        <v>-100</v>
      </c>
      <c r="E11" s="485">
        <f t="shared" si="0"/>
        <v>-100</v>
      </c>
      <c r="G11" s="471"/>
      <c r="I11" s="487">
        <v>-50</v>
      </c>
      <c r="J11" s="485">
        <f t="shared" si="1"/>
        <v>-50</v>
      </c>
      <c r="L11" s="471">
        <v>-50</v>
      </c>
    </row>
    <row r="12" spans="1:13" x14ac:dyDescent="0.3">
      <c r="A12" s="482" t="s">
        <v>39</v>
      </c>
      <c r="B12" s="483">
        <v>-51.7</v>
      </c>
      <c r="C12" s="484">
        <v>-350</v>
      </c>
      <c r="D12" s="484">
        <v>-350</v>
      </c>
      <c r="E12" s="485">
        <f t="shared" si="0"/>
        <v>-298.3</v>
      </c>
      <c r="G12" s="471"/>
      <c r="I12" s="487">
        <v>-175</v>
      </c>
      <c r="J12" s="485">
        <f t="shared" si="1"/>
        <v>-175</v>
      </c>
      <c r="L12" s="471">
        <v>-175</v>
      </c>
    </row>
    <row r="13" spans="1:13" x14ac:dyDescent="0.3">
      <c r="A13" s="482" t="s">
        <v>40</v>
      </c>
      <c r="B13" s="483">
        <v>0</v>
      </c>
      <c r="C13" s="484">
        <v>0</v>
      </c>
      <c r="D13" s="484">
        <v>0</v>
      </c>
      <c r="E13" s="485">
        <f t="shared" si="0"/>
        <v>0</v>
      </c>
      <c r="G13" s="471"/>
      <c r="I13" s="487">
        <v>0</v>
      </c>
      <c r="J13" s="485">
        <f t="shared" si="1"/>
        <v>0</v>
      </c>
      <c r="L13" s="471">
        <v>0</v>
      </c>
    </row>
    <row r="14" spans="1:13" x14ac:dyDescent="0.3">
      <c r="A14" s="482" t="s">
        <v>91</v>
      </c>
      <c r="B14" s="483">
        <v>3.35</v>
      </c>
      <c r="C14" s="484">
        <v>5</v>
      </c>
      <c r="D14" s="484">
        <v>5</v>
      </c>
      <c r="E14" s="485">
        <f t="shared" si="0"/>
        <v>1.65</v>
      </c>
      <c r="G14" s="471"/>
      <c r="I14" s="487">
        <v>5</v>
      </c>
      <c r="J14" s="485">
        <f t="shared" si="1"/>
        <v>0</v>
      </c>
      <c r="L14" s="471">
        <v>5</v>
      </c>
    </row>
    <row r="15" spans="1:13" x14ac:dyDescent="0.3">
      <c r="A15" s="482" t="s">
        <v>43</v>
      </c>
      <c r="B15" s="483">
        <v>-75</v>
      </c>
      <c r="C15" s="484">
        <v>-450</v>
      </c>
      <c r="D15" s="484">
        <v>-450</v>
      </c>
      <c r="E15" s="485">
        <f t="shared" si="0"/>
        <v>-375</v>
      </c>
      <c r="G15" s="471"/>
      <c r="I15" s="487">
        <v>-300</v>
      </c>
      <c r="J15" s="485">
        <f t="shared" si="1"/>
        <v>-150</v>
      </c>
      <c r="L15" s="471">
        <v>-300</v>
      </c>
    </row>
    <row r="16" spans="1:13" x14ac:dyDescent="0.3">
      <c r="A16" s="482" t="s">
        <v>946</v>
      </c>
      <c r="B16" s="483"/>
      <c r="C16" s="484"/>
      <c r="D16" s="484"/>
      <c r="E16" s="485"/>
      <c r="G16" s="471"/>
      <c r="I16" s="487">
        <v>-200</v>
      </c>
      <c r="J16" s="485">
        <f t="shared" si="1"/>
        <v>200</v>
      </c>
      <c r="L16" s="471">
        <v>-200</v>
      </c>
    </row>
    <row r="17" spans="1:12" x14ac:dyDescent="0.3">
      <c r="A17" s="482" t="s">
        <v>44</v>
      </c>
      <c r="B17" s="483">
        <v>0</v>
      </c>
      <c r="C17" s="484">
        <v>-50</v>
      </c>
      <c r="D17" s="484">
        <v>-50</v>
      </c>
      <c r="E17" s="485">
        <f t="shared" si="0"/>
        <v>-50</v>
      </c>
      <c r="G17" s="471"/>
      <c r="I17" s="487">
        <v>-50</v>
      </c>
      <c r="J17" s="485">
        <f t="shared" si="1"/>
        <v>0</v>
      </c>
      <c r="L17" s="471">
        <v>-50</v>
      </c>
    </row>
    <row r="18" spans="1:12" x14ac:dyDescent="0.3">
      <c r="A18" s="482" t="s">
        <v>45</v>
      </c>
      <c r="B18" s="483">
        <v>-106</v>
      </c>
      <c r="C18" s="484">
        <v>-95</v>
      </c>
      <c r="D18" s="484">
        <v>-95</v>
      </c>
      <c r="E18" s="485">
        <f t="shared" si="0"/>
        <v>11</v>
      </c>
      <c r="G18" s="471"/>
      <c r="I18" s="487">
        <v>-110</v>
      </c>
      <c r="J18" s="485">
        <f t="shared" si="1"/>
        <v>15</v>
      </c>
      <c r="L18" s="471">
        <v>-110</v>
      </c>
    </row>
    <row r="19" spans="1:12" x14ac:dyDescent="0.3">
      <c r="A19" s="482" t="s">
        <v>46</v>
      </c>
      <c r="B19" s="483">
        <v>0</v>
      </c>
      <c r="C19" s="484">
        <v>-1050</v>
      </c>
      <c r="D19" s="484">
        <v>-1050</v>
      </c>
      <c r="E19" s="485">
        <f t="shared" si="0"/>
        <v>-1050</v>
      </c>
      <c r="G19" s="471"/>
      <c r="I19" s="487">
        <v>-1100</v>
      </c>
      <c r="J19" s="485">
        <f t="shared" si="1"/>
        <v>50</v>
      </c>
      <c r="L19" s="471">
        <v>-1100</v>
      </c>
    </row>
    <row r="20" spans="1:12" x14ac:dyDescent="0.3">
      <c r="A20" s="482" t="s">
        <v>47</v>
      </c>
      <c r="B20" s="483">
        <v>-14</v>
      </c>
      <c r="C20" s="484">
        <v>-50</v>
      </c>
      <c r="D20" s="484">
        <v>-50</v>
      </c>
      <c r="E20" s="485">
        <f t="shared" si="0"/>
        <v>-36</v>
      </c>
      <c r="G20" s="471"/>
      <c r="I20" s="487">
        <v>-25</v>
      </c>
      <c r="J20" s="485">
        <f t="shared" si="1"/>
        <v>-25</v>
      </c>
      <c r="L20" s="471">
        <v>-25</v>
      </c>
    </row>
    <row r="21" spans="1:12" x14ac:dyDescent="0.3">
      <c r="A21" s="482" t="s">
        <v>49</v>
      </c>
      <c r="B21" s="483">
        <v>-9.1999999999999993</v>
      </c>
      <c r="C21" s="484">
        <v>-50</v>
      </c>
      <c r="D21" s="484">
        <v>-50</v>
      </c>
      <c r="E21" s="485">
        <f t="shared" si="0"/>
        <v>-40.799999999999997</v>
      </c>
      <c r="G21" s="471"/>
      <c r="I21" s="487">
        <v>-25</v>
      </c>
      <c r="J21" s="485">
        <f t="shared" si="1"/>
        <v>-25</v>
      </c>
      <c r="L21" s="471">
        <v>-25</v>
      </c>
    </row>
    <row r="22" spans="1:12" x14ac:dyDescent="0.3">
      <c r="A22" s="482" t="s">
        <v>50</v>
      </c>
      <c r="B22" s="483">
        <v>0</v>
      </c>
      <c r="C22" s="484">
        <v>-25</v>
      </c>
      <c r="D22" s="484">
        <v>-25</v>
      </c>
      <c r="E22" s="485">
        <f t="shared" si="0"/>
        <v>-25</v>
      </c>
      <c r="G22" s="471"/>
      <c r="I22" s="487">
        <v>-12.5</v>
      </c>
      <c r="J22" s="485">
        <f t="shared" si="1"/>
        <v>-12.5</v>
      </c>
      <c r="L22" s="471">
        <v>-12.5</v>
      </c>
    </row>
    <row r="23" spans="1:12" x14ac:dyDescent="0.3">
      <c r="A23" s="482" t="s">
        <v>51</v>
      </c>
      <c r="B23" s="483">
        <v>-290</v>
      </c>
      <c r="C23" s="484">
        <v>-850</v>
      </c>
      <c r="D23" s="484">
        <v>-850</v>
      </c>
      <c r="E23" s="485">
        <f t="shared" si="0"/>
        <v>-560</v>
      </c>
      <c r="G23" s="471">
        <v>-850</v>
      </c>
      <c r="I23" s="487">
        <v>-320</v>
      </c>
      <c r="J23" s="485">
        <f t="shared" si="1"/>
        <v>-530</v>
      </c>
      <c r="L23" s="471">
        <v>-320</v>
      </c>
    </row>
    <row r="24" spans="1:12" x14ac:dyDescent="0.3">
      <c r="A24" s="482" t="s">
        <v>52</v>
      </c>
      <c r="B24" s="483">
        <v>-20</v>
      </c>
      <c r="C24" s="484">
        <v>-100</v>
      </c>
      <c r="D24" s="484">
        <v>-100</v>
      </c>
      <c r="E24" s="485">
        <f t="shared" si="0"/>
        <v>-80</v>
      </c>
      <c r="G24" s="471"/>
      <c r="I24" s="487">
        <v>-50</v>
      </c>
      <c r="J24" s="485">
        <f t="shared" si="1"/>
        <v>-50</v>
      </c>
      <c r="L24" s="471">
        <v>-50</v>
      </c>
    </row>
    <row r="25" spans="1:12" x14ac:dyDescent="0.3">
      <c r="A25" s="482" t="s">
        <v>53</v>
      </c>
      <c r="B25" s="483">
        <v>0</v>
      </c>
      <c r="C25" s="484">
        <v>-100</v>
      </c>
      <c r="D25" s="484">
        <v>-100</v>
      </c>
      <c r="E25" s="485">
        <f t="shared" si="0"/>
        <v>-100</v>
      </c>
      <c r="G25" s="471"/>
      <c r="I25" s="487">
        <v>-50</v>
      </c>
      <c r="J25" s="485">
        <f t="shared" si="1"/>
        <v>-50</v>
      </c>
      <c r="L25" s="471">
        <v>-50</v>
      </c>
    </row>
    <row r="26" spans="1:12" x14ac:dyDescent="0.3">
      <c r="A26" s="482" t="s">
        <v>54</v>
      </c>
      <c r="B26" s="483">
        <v>0</v>
      </c>
      <c r="C26" s="484">
        <v>0</v>
      </c>
      <c r="D26" s="484">
        <v>0</v>
      </c>
      <c r="E26" s="485">
        <f t="shared" si="0"/>
        <v>0</v>
      </c>
      <c r="G26" s="471"/>
      <c r="I26" s="487">
        <v>0</v>
      </c>
      <c r="J26" s="485">
        <f t="shared" si="1"/>
        <v>0</v>
      </c>
      <c r="L26" s="471">
        <v>0</v>
      </c>
    </row>
    <row r="27" spans="1:12" x14ac:dyDescent="0.3">
      <c r="A27" s="482" t="s">
        <v>36</v>
      </c>
      <c r="B27" s="483">
        <v>0</v>
      </c>
      <c r="C27" s="484">
        <v>-300</v>
      </c>
      <c r="D27" s="484">
        <v>-300</v>
      </c>
      <c r="E27" s="485">
        <f t="shared" si="0"/>
        <v>-300</v>
      </c>
      <c r="G27" s="471"/>
      <c r="I27" s="487">
        <v>-300</v>
      </c>
      <c r="J27" s="485">
        <f t="shared" si="1"/>
        <v>0</v>
      </c>
      <c r="L27" s="471">
        <v>-300</v>
      </c>
    </row>
    <row r="28" spans="1:12" x14ac:dyDescent="0.3">
      <c r="A28" s="482" t="s">
        <v>573</v>
      </c>
      <c r="B28" s="483">
        <v>0</v>
      </c>
      <c r="C28" s="484">
        <v>-50</v>
      </c>
      <c r="D28" s="484">
        <v>-50</v>
      </c>
      <c r="E28" s="485">
        <f t="shared" si="0"/>
        <v>-50</v>
      </c>
      <c r="G28" s="471"/>
      <c r="I28" s="487">
        <v>-50</v>
      </c>
      <c r="J28" s="485">
        <f t="shared" si="1"/>
        <v>0</v>
      </c>
      <c r="L28" s="471">
        <v>-50</v>
      </c>
    </row>
    <row r="29" spans="1:12" x14ac:dyDescent="0.3">
      <c r="A29" s="482" t="s">
        <v>574</v>
      </c>
      <c r="B29" s="483">
        <v>0</v>
      </c>
      <c r="C29" s="484">
        <v>-50</v>
      </c>
      <c r="D29" s="484">
        <v>-50</v>
      </c>
      <c r="E29" s="485">
        <f t="shared" si="0"/>
        <v>-50</v>
      </c>
      <c r="G29" s="471"/>
      <c r="I29" s="487">
        <v>-50</v>
      </c>
      <c r="J29" s="485">
        <f t="shared" si="1"/>
        <v>0</v>
      </c>
      <c r="L29" s="471">
        <v>-50</v>
      </c>
    </row>
    <row r="30" spans="1:12" x14ac:dyDescent="0.3">
      <c r="A30" s="482" t="s">
        <v>389</v>
      </c>
      <c r="B30" s="483">
        <v>0</v>
      </c>
      <c r="C30" s="484">
        <v>-250</v>
      </c>
      <c r="D30" s="484">
        <v>-250</v>
      </c>
      <c r="E30" s="485">
        <f t="shared" si="0"/>
        <v>-250</v>
      </c>
      <c r="G30" s="471"/>
      <c r="I30" s="487">
        <v>-250</v>
      </c>
      <c r="J30" s="485">
        <f t="shared" si="1"/>
        <v>0</v>
      </c>
      <c r="L30" s="471">
        <v>-250</v>
      </c>
    </row>
    <row r="31" spans="1:12" x14ac:dyDescent="0.3">
      <c r="A31" s="482" t="s">
        <v>390</v>
      </c>
      <c r="B31" s="483">
        <v>0</v>
      </c>
      <c r="C31" s="484">
        <v>-100</v>
      </c>
      <c r="D31" s="484">
        <v>-100</v>
      </c>
      <c r="E31" s="485">
        <f t="shared" si="0"/>
        <v>-100</v>
      </c>
      <c r="G31" s="471"/>
      <c r="I31" s="487">
        <v>-100</v>
      </c>
      <c r="J31" s="485">
        <f t="shared" si="1"/>
        <v>0</v>
      </c>
      <c r="L31" s="471">
        <v>-100</v>
      </c>
    </row>
    <row r="32" spans="1:12" x14ac:dyDescent="0.3">
      <c r="A32" s="482" t="s">
        <v>703</v>
      </c>
      <c r="B32" s="483">
        <v>-1715</v>
      </c>
      <c r="C32" s="484">
        <v>-1715</v>
      </c>
      <c r="D32" s="484">
        <v>-1715</v>
      </c>
      <c r="E32" s="485">
        <f t="shared" si="0"/>
        <v>0</v>
      </c>
      <c r="G32" s="471"/>
      <c r="I32" s="487">
        <v>-1715</v>
      </c>
      <c r="J32" s="485">
        <f t="shared" si="1"/>
        <v>0</v>
      </c>
      <c r="L32" s="471"/>
    </row>
    <row r="33" spans="1:12" x14ac:dyDescent="0.3">
      <c r="A33" s="482" t="s">
        <v>704</v>
      </c>
      <c r="B33" s="483">
        <v>0</v>
      </c>
      <c r="C33" s="484">
        <v>0</v>
      </c>
      <c r="D33" s="484">
        <v>0</v>
      </c>
      <c r="E33" s="485">
        <f t="shared" si="0"/>
        <v>0</v>
      </c>
      <c r="G33" s="471"/>
      <c r="I33" s="487">
        <v>0</v>
      </c>
      <c r="J33" s="485">
        <f t="shared" si="1"/>
        <v>0</v>
      </c>
      <c r="L33" s="471">
        <v>0</v>
      </c>
    </row>
    <row r="34" spans="1:12" x14ac:dyDescent="0.3">
      <c r="A34" s="482" t="s">
        <v>55</v>
      </c>
      <c r="B34" s="483">
        <v>-3000</v>
      </c>
      <c r="C34" s="484">
        <v>-3000</v>
      </c>
      <c r="D34" s="484">
        <v>-3000</v>
      </c>
      <c r="E34" s="485">
        <f t="shared" si="0"/>
        <v>0</v>
      </c>
      <c r="G34" s="471"/>
      <c r="I34" s="487">
        <v>-3000</v>
      </c>
      <c r="J34" s="485">
        <f t="shared" si="1"/>
        <v>0</v>
      </c>
      <c r="L34" s="471"/>
    </row>
    <row r="35" spans="1:12" x14ac:dyDescent="0.3">
      <c r="A35" s="482" t="s">
        <v>56</v>
      </c>
      <c r="B35" s="483">
        <v>-4000</v>
      </c>
      <c r="C35" s="484">
        <v>-4000</v>
      </c>
      <c r="D35" s="484">
        <v>-4000</v>
      </c>
      <c r="E35" s="485">
        <f t="shared" si="0"/>
        <v>0</v>
      </c>
      <c r="G35" s="471"/>
      <c r="I35" s="487">
        <v>-4000</v>
      </c>
      <c r="J35" s="485">
        <f t="shared" si="1"/>
        <v>0</v>
      </c>
      <c r="L35" s="471"/>
    </row>
    <row r="36" spans="1:12" x14ac:dyDescent="0.3">
      <c r="A36" s="482" t="s">
        <v>590</v>
      </c>
      <c r="B36" s="483">
        <v>0</v>
      </c>
      <c r="C36" s="484">
        <v>0</v>
      </c>
      <c r="D36" s="484">
        <v>0</v>
      </c>
      <c r="E36" s="485">
        <f t="shared" si="0"/>
        <v>0</v>
      </c>
      <c r="G36" s="471"/>
      <c r="I36" s="487">
        <v>0</v>
      </c>
      <c r="J36" s="485">
        <f t="shared" si="1"/>
        <v>0</v>
      </c>
      <c r="L36" s="471">
        <v>0</v>
      </c>
    </row>
    <row r="37" spans="1:12" x14ac:dyDescent="0.3">
      <c r="A37" s="482" t="s">
        <v>943</v>
      </c>
      <c r="B37" s="483">
        <v>-460.98</v>
      </c>
      <c r="C37" s="484">
        <v>-450</v>
      </c>
      <c r="D37" s="484">
        <v>-460.98</v>
      </c>
      <c r="E37" s="485">
        <f t="shared" si="0"/>
        <v>0</v>
      </c>
      <c r="G37" s="471"/>
      <c r="I37" s="487">
        <v>-875</v>
      </c>
      <c r="J37" s="485">
        <f t="shared" si="1"/>
        <v>425</v>
      </c>
      <c r="L37" s="471"/>
    </row>
    <row r="38" spans="1:12" x14ac:dyDescent="0.3">
      <c r="A38" s="482" t="s">
        <v>944</v>
      </c>
      <c r="B38" s="483">
        <v>-300</v>
      </c>
      <c r="C38" s="484">
        <v>-300</v>
      </c>
      <c r="D38" s="484">
        <v>-300</v>
      </c>
      <c r="E38" s="485">
        <f t="shared" si="0"/>
        <v>0</v>
      </c>
      <c r="G38" s="471"/>
      <c r="I38" s="487">
        <v>-275</v>
      </c>
      <c r="J38" s="485">
        <f t="shared" si="1"/>
        <v>-25</v>
      </c>
      <c r="L38" s="471"/>
    </row>
    <row r="39" spans="1:12" ht="15" thickBot="1" x14ac:dyDescent="0.35">
      <c r="A39" s="472" t="s">
        <v>519</v>
      </c>
      <c r="B39" s="473">
        <f>SUM(B3:B38)</f>
        <v>4073.7999999999993</v>
      </c>
      <c r="C39" s="473">
        <f>SUM(C3:C38)</f>
        <v>1443.2999999999993</v>
      </c>
      <c r="D39" s="473">
        <f>SUM(D3:D38)</f>
        <v>920.48999999999933</v>
      </c>
      <c r="E39" s="473">
        <f>SUM(E3:E38)</f>
        <v>-3153.3099999999995</v>
      </c>
      <c r="G39" s="473">
        <f>SUM(G3:G38)</f>
        <v>-850</v>
      </c>
      <c r="I39" s="473">
        <f>SUM(I3:I38)</f>
        <v>-4538.3899999999958</v>
      </c>
      <c r="J39" s="473">
        <f>SUM(J3:J38)</f>
        <v>222.5</v>
      </c>
      <c r="L39" s="473">
        <f>SUM(L3:L38)</f>
        <v>-3187.5</v>
      </c>
    </row>
    <row r="40" spans="1:12" ht="15" thickTop="1" x14ac:dyDescent="0.3"/>
    <row r="41" spans="1:12" x14ac:dyDescent="0.3">
      <c r="A41" s="482" t="s">
        <v>60</v>
      </c>
      <c r="B41" s="484">
        <v>0</v>
      </c>
      <c r="C41" s="484">
        <v>5500</v>
      </c>
      <c r="D41" s="484">
        <v>0</v>
      </c>
      <c r="E41" s="485">
        <f t="shared" ref="E41:E57" si="2">-B41+D41</f>
        <v>0</v>
      </c>
      <c r="G41" s="471">
        <v>5500</v>
      </c>
      <c r="I41" s="487">
        <v>5500</v>
      </c>
      <c r="J41" s="485">
        <f t="shared" ref="J41:J57" si="3">-I41+C41</f>
        <v>0</v>
      </c>
      <c r="L41" s="471">
        <v>5500</v>
      </c>
    </row>
    <row r="42" spans="1:12" x14ac:dyDescent="0.3">
      <c r="A42" s="482" t="s">
        <v>61</v>
      </c>
      <c r="B42" s="484">
        <v>0</v>
      </c>
      <c r="C42" s="484">
        <v>14500</v>
      </c>
      <c r="D42" s="484">
        <v>0</v>
      </c>
      <c r="E42" s="485">
        <f t="shared" si="2"/>
        <v>0</v>
      </c>
      <c r="G42" s="471">
        <v>14500</v>
      </c>
      <c r="I42" s="487">
        <v>14500</v>
      </c>
      <c r="J42" s="485">
        <f t="shared" si="3"/>
        <v>0</v>
      </c>
      <c r="L42" s="471">
        <v>14500</v>
      </c>
    </row>
    <row r="43" spans="1:12" x14ac:dyDescent="0.3">
      <c r="A43" s="482" t="s">
        <v>62</v>
      </c>
      <c r="B43" s="484">
        <v>0</v>
      </c>
      <c r="C43" s="484">
        <v>-100</v>
      </c>
      <c r="D43" s="484">
        <v>0</v>
      </c>
      <c r="E43" s="485">
        <f t="shared" si="2"/>
        <v>0</v>
      </c>
      <c r="G43" s="471">
        <v>-100</v>
      </c>
      <c r="I43" s="487">
        <v>-100</v>
      </c>
      <c r="J43" s="485">
        <f t="shared" si="3"/>
        <v>0</v>
      </c>
      <c r="L43" s="471">
        <v>-100</v>
      </c>
    </row>
    <row r="44" spans="1:12" x14ac:dyDescent="0.3">
      <c r="A44" s="482" t="s">
        <v>63</v>
      </c>
      <c r="B44" s="484">
        <v>0</v>
      </c>
      <c r="C44" s="484">
        <v>-100</v>
      </c>
      <c r="D44" s="484">
        <v>0</v>
      </c>
      <c r="E44" s="485">
        <f t="shared" si="2"/>
        <v>0</v>
      </c>
      <c r="G44" s="471">
        <v>-100</v>
      </c>
      <c r="I44" s="487">
        <v>-100</v>
      </c>
      <c r="J44" s="485">
        <f t="shared" si="3"/>
        <v>0</v>
      </c>
      <c r="L44" s="471">
        <v>-100</v>
      </c>
    </row>
    <row r="45" spans="1:12" x14ac:dyDescent="0.3">
      <c r="A45" s="482" t="s">
        <v>64</v>
      </c>
      <c r="B45" s="484">
        <v>0</v>
      </c>
      <c r="C45" s="484">
        <v>-50</v>
      </c>
      <c r="D45" s="484">
        <v>0</v>
      </c>
      <c r="E45" s="485">
        <f t="shared" si="2"/>
        <v>0</v>
      </c>
      <c r="G45" s="471">
        <v>-50</v>
      </c>
      <c r="I45" s="487">
        <v>-50</v>
      </c>
      <c r="J45" s="485">
        <f t="shared" si="3"/>
        <v>0</v>
      </c>
      <c r="L45" s="471">
        <v>-50</v>
      </c>
    </row>
    <row r="46" spans="1:12" x14ac:dyDescent="0.3">
      <c r="A46" s="482" t="s">
        <v>65</v>
      </c>
      <c r="B46" s="484">
        <v>0</v>
      </c>
      <c r="C46" s="484">
        <v>-50</v>
      </c>
      <c r="D46" s="484">
        <v>0</v>
      </c>
      <c r="E46" s="485">
        <f t="shared" si="2"/>
        <v>0</v>
      </c>
      <c r="G46" s="471">
        <v>-50</v>
      </c>
      <c r="I46" s="487">
        <v>-50</v>
      </c>
      <c r="J46" s="485">
        <f t="shared" si="3"/>
        <v>0</v>
      </c>
      <c r="L46" s="471">
        <v>-50</v>
      </c>
    </row>
    <row r="47" spans="1:12" x14ac:dyDescent="0.3">
      <c r="A47" s="482" t="s">
        <v>66</v>
      </c>
      <c r="B47" s="484">
        <v>0</v>
      </c>
      <c r="C47" s="484">
        <v>-4500</v>
      </c>
      <c r="D47" s="484">
        <v>0</v>
      </c>
      <c r="E47" s="485">
        <f t="shared" si="2"/>
        <v>0</v>
      </c>
      <c r="G47" s="471">
        <v>-4500</v>
      </c>
      <c r="I47" s="487">
        <v>-4500</v>
      </c>
      <c r="J47" s="485">
        <f t="shared" si="3"/>
        <v>0</v>
      </c>
      <c r="L47" s="471">
        <v>-4500</v>
      </c>
    </row>
    <row r="48" spans="1:12" x14ac:dyDescent="0.3">
      <c r="A48" s="482" t="s">
        <v>67</v>
      </c>
      <c r="B48" s="484">
        <v>0</v>
      </c>
      <c r="C48" s="484">
        <v>-3865</v>
      </c>
      <c r="D48" s="484">
        <v>0</v>
      </c>
      <c r="E48" s="485">
        <f t="shared" si="2"/>
        <v>0</v>
      </c>
      <c r="G48" s="471">
        <v>-3865</v>
      </c>
      <c r="I48" s="487">
        <v>-3865</v>
      </c>
      <c r="J48" s="485">
        <f t="shared" si="3"/>
        <v>0</v>
      </c>
      <c r="L48" s="471">
        <v>-3865</v>
      </c>
    </row>
    <row r="49" spans="1:12" x14ac:dyDescent="0.3">
      <c r="A49" s="482" t="s">
        <v>918</v>
      </c>
      <c r="B49" s="484">
        <v>0</v>
      </c>
      <c r="C49" s="484">
        <v>-135</v>
      </c>
      <c r="D49" s="484">
        <v>0</v>
      </c>
      <c r="E49" s="485">
        <f t="shared" si="2"/>
        <v>0</v>
      </c>
      <c r="G49" s="471">
        <v>-135</v>
      </c>
      <c r="I49" s="487">
        <v>-135</v>
      </c>
      <c r="J49" s="485">
        <f t="shared" si="3"/>
        <v>0</v>
      </c>
      <c r="L49" s="471">
        <v>-135</v>
      </c>
    </row>
    <row r="50" spans="1:12" x14ac:dyDescent="0.3">
      <c r="A50" s="482" t="s">
        <v>68</v>
      </c>
      <c r="B50" s="484">
        <v>0</v>
      </c>
      <c r="C50" s="484">
        <v>-1000</v>
      </c>
      <c r="D50" s="484">
        <v>0</v>
      </c>
      <c r="E50" s="485">
        <f t="shared" si="2"/>
        <v>0</v>
      </c>
      <c r="G50" s="471">
        <v>-1000</v>
      </c>
      <c r="I50" s="487">
        <v>-1000</v>
      </c>
      <c r="J50" s="485">
        <f t="shared" si="3"/>
        <v>0</v>
      </c>
      <c r="L50" s="471">
        <v>-1000</v>
      </c>
    </row>
    <row r="51" spans="1:12" x14ac:dyDescent="0.3">
      <c r="A51" s="482" t="s">
        <v>69</v>
      </c>
      <c r="B51" s="484">
        <v>0</v>
      </c>
      <c r="C51" s="484">
        <v>-5600</v>
      </c>
      <c r="D51" s="484">
        <v>0</v>
      </c>
      <c r="E51" s="485">
        <f t="shared" si="2"/>
        <v>0</v>
      </c>
      <c r="G51" s="471">
        <v>-5600</v>
      </c>
      <c r="I51" s="487">
        <v>-5600</v>
      </c>
      <c r="J51" s="485">
        <f t="shared" si="3"/>
        <v>0</v>
      </c>
      <c r="L51" s="471">
        <v>-5600</v>
      </c>
    </row>
    <row r="52" spans="1:12" x14ac:dyDescent="0.3">
      <c r="A52" s="482" t="s">
        <v>920</v>
      </c>
      <c r="B52" s="484">
        <v>-200</v>
      </c>
      <c r="C52" s="484">
        <v>-550</v>
      </c>
      <c r="D52" s="484">
        <v>-200</v>
      </c>
      <c r="E52" s="485">
        <f t="shared" si="2"/>
        <v>0</v>
      </c>
      <c r="G52" s="471">
        <v>-550</v>
      </c>
      <c r="I52" s="487">
        <v>-550</v>
      </c>
      <c r="J52" s="485">
        <f t="shared" si="3"/>
        <v>0</v>
      </c>
      <c r="L52" s="471">
        <v>-550</v>
      </c>
    </row>
    <row r="53" spans="1:12" x14ac:dyDescent="0.3">
      <c r="A53" s="482" t="s">
        <v>919</v>
      </c>
      <c r="B53" s="484">
        <v>0</v>
      </c>
      <c r="C53" s="484">
        <v>-360</v>
      </c>
      <c r="D53" s="484">
        <v>0</v>
      </c>
      <c r="E53" s="485">
        <f t="shared" si="2"/>
        <v>0</v>
      </c>
      <c r="G53" s="471">
        <v>-360</v>
      </c>
      <c r="I53" s="487">
        <v>-360</v>
      </c>
      <c r="J53" s="485">
        <f t="shared" si="3"/>
        <v>0</v>
      </c>
      <c r="L53" s="471">
        <v>-360</v>
      </c>
    </row>
    <row r="54" spans="1:12" x14ac:dyDescent="0.3">
      <c r="A54" s="482" t="s">
        <v>71</v>
      </c>
      <c r="B54" s="484">
        <v>0</v>
      </c>
      <c r="C54" s="484">
        <v>-50</v>
      </c>
      <c r="D54" s="484">
        <v>0</v>
      </c>
      <c r="E54" s="485">
        <f t="shared" si="2"/>
        <v>0</v>
      </c>
      <c r="G54" s="471">
        <v>-50</v>
      </c>
      <c r="I54" s="487">
        <v>-50</v>
      </c>
      <c r="J54" s="485">
        <f t="shared" si="3"/>
        <v>0</v>
      </c>
      <c r="L54" s="471">
        <v>-50</v>
      </c>
    </row>
    <row r="55" spans="1:12" x14ac:dyDescent="0.3">
      <c r="A55" s="482" t="s">
        <v>72</v>
      </c>
      <c r="B55" s="484">
        <v>0</v>
      </c>
      <c r="C55" s="484">
        <v>-250</v>
      </c>
      <c r="D55" s="484">
        <v>0</v>
      </c>
      <c r="E55" s="485">
        <f t="shared" si="2"/>
        <v>0</v>
      </c>
      <c r="G55" s="471">
        <v>-250</v>
      </c>
      <c r="I55" s="487">
        <v>-250</v>
      </c>
      <c r="J55" s="485">
        <f t="shared" si="3"/>
        <v>0</v>
      </c>
      <c r="L55" s="471">
        <v>-250</v>
      </c>
    </row>
    <row r="56" spans="1:12" x14ac:dyDescent="0.3">
      <c r="A56" s="482" t="s">
        <v>73</v>
      </c>
      <c r="B56" s="484">
        <v>0</v>
      </c>
      <c r="C56" s="484">
        <v>-100</v>
      </c>
      <c r="D56" s="484">
        <v>0</v>
      </c>
      <c r="E56" s="485">
        <f t="shared" si="2"/>
        <v>0</v>
      </c>
      <c r="G56" s="471">
        <v>-100</v>
      </c>
      <c r="I56" s="487">
        <v>-100</v>
      </c>
      <c r="J56" s="485">
        <f t="shared" si="3"/>
        <v>0</v>
      </c>
      <c r="L56" s="471">
        <v>-100</v>
      </c>
    </row>
    <row r="57" spans="1:12" x14ac:dyDescent="0.3">
      <c r="A57" s="482" t="s">
        <v>74</v>
      </c>
      <c r="B57" s="484">
        <v>0</v>
      </c>
      <c r="C57" s="484">
        <v>-100</v>
      </c>
      <c r="D57" s="484">
        <v>0</v>
      </c>
      <c r="E57" s="485">
        <f t="shared" si="2"/>
        <v>0</v>
      </c>
      <c r="G57" s="471">
        <v>-100</v>
      </c>
      <c r="I57" s="487">
        <v>-100</v>
      </c>
      <c r="J57" s="485">
        <f t="shared" si="3"/>
        <v>0</v>
      </c>
      <c r="L57" s="471">
        <v>-100</v>
      </c>
    </row>
    <row r="58" spans="1:12" ht="15" thickBot="1" x14ac:dyDescent="0.35">
      <c r="A58" s="472" t="s">
        <v>520</v>
      </c>
      <c r="B58" s="473">
        <f>SUM(B41:B57)</f>
        <v>-200</v>
      </c>
      <c r="C58" s="473">
        <f t="shared" ref="C58:E58" si="4">SUM(C41:C57)</f>
        <v>3190</v>
      </c>
      <c r="D58" s="473">
        <f t="shared" si="4"/>
        <v>-200</v>
      </c>
      <c r="E58" s="473">
        <f t="shared" si="4"/>
        <v>0</v>
      </c>
      <c r="G58" s="473">
        <f>SUM(G41:G57)</f>
        <v>3190</v>
      </c>
      <c r="I58" s="473">
        <f>SUM(I41:I57)</f>
        <v>3190</v>
      </c>
      <c r="J58" s="473">
        <f>SUM(J41:J57)</f>
        <v>0</v>
      </c>
      <c r="L58" s="473">
        <f>SUM(L41:L57)</f>
        <v>3190</v>
      </c>
    </row>
    <row r="59" spans="1:12" ht="15" thickTop="1" x14ac:dyDescent="0.3"/>
    <row r="60" spans="1:12" ht="15" thickBot="1" x14ac:dyDescent="0.35">
      <c r="A60" s="475" t="s">
        <v>857</v>
      </c>
      <c r="B60" s="476">
        <f>+B39+B58</f>
        <v>3873.7999999999993</v>
      </c>
      <c r="C60" s="476">
        <f t="shared" ref="C60:J60" si="5">+C39+C58</f>
        <v>4633.2999999999993</v>
      </c>
      <c r="D60" s="476">
        <f t="shared" ref="D60" si="6">+D39+D58</f>
        <v>720.48999999999933</v>
      </c>
      <c r="E60" s="476">
        <f t="shared" si="5"/>
        <v>-3153.3099999999995</v>
      </c>
      <c r="G60" s="476">
        <f>+G39+G58</f>
        <v>2340</v>
      </c>
      <c r="I60" s="476">
        <f t="shared" si="5"/>
        <v>-1348.3899999999958</v>
      </c>
      <c r="J60" s="476">
        <f t="shared" si="5"/>
        <v>222.5</v>
      </c>
      <c r="L60" s="476">
        <f t="shared" ref="L60" si="7">+L39+L58</f>
        <v>2.5</v>
      </c>
    </row>
    <row r="61" spans="1:12" ht="15" thickTop="1" x14ac:dyDescent="0.3"/>
  </sheetData>
  <conditionalFormatting sqref="E59:E1048576 E1:E40">
    <cfRule type="cellIs" dxfId="119" priority="19" operator="lessThan">
      <formula>0</formula>
    </cfRule>
  </conditionalFormatting>
  <conditionalFormatting sqref="J1:J15 J50:J59 J61:J1048576 J17:J48">
    <cfRule type="cellIs" dxfId="118" priority="17" operator="lessThan">
      <formula>0</formula>
    </cfRule>
    <cfRule type="cellIs" dxfId="117" priority="18" operator="lessThan">
      <formula>-6830.23</formula>
    </cfRule>
  </conditionalFormatting>
  <conditionalFormatting sqref="J49">
    <cfRule type="cellIs" dxfId="116" priority="14" operator="lessThan">
      <formula>0</formula>
    </cfRule>
    <cfRule type="cellIs" dxfId="115" priority="15" operator="lessThan">
      <formula>-6830.23</formula>
    </cfRule>
  </conditionalFormatting>
  <conditionalFormatting sqref="E16">
    <cfRule type="cellIs" dxfId="114" priority="11" operator="lessThan">
      <formula>0</formula>
    </cfRule>
  </conditionalFormatting>
  <conditionalFormatting sqref="G60">
    <cfRule type="cellIs" dxfId="113" priority="12" operator="lessThan">
      <formula>0</formula>
    </cfRule>
  </conditionalFormatting>
  <conditionalFormatting sqref="J16">
    <cfRule type="cellIs" dxfId="112" priority="9" operator="lessThan">
      <formula>0</formula>
    </cfRule>
    <cfRule type="cellIs" dxfId="111" priority="10" operator="lessThan">
      <formula>-6830.23</formula>
    </cfRule>
  </conditionalFormatting>
  <conditionalFormatting sqref="E41:E57">
    <cfRule type="cellIs" dxfId="110" priority="7" operator="lessThan">
      <formula>0</formula>
    </cfRule>
  </conditionalFormatting>
  <printOptions horizontalCentered="1" verticalCentered="1"/>
  <pageMargins left="0.25" right="0.25" top="0.25" bottom="0.25" header="0" footer="0"/>
  <pageSetup scale="7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59999389629810485"/>
  </sheetPr>
  <dimension ref="A1:B27"/>
  <sheetViews>
    <sheetView showGridLines="0" showRowColHeaders="0" zoomScaleNormal="100" workbookViewId="0">
      <selection activeCell="B4" sqref="B4"/>
    </sheetView>
  </sheetViews>
  <sheetFormatPr defaultColWidth="8.88671875" defaultRowHeight="12" x14ac:dyDescent="0.25"/>
  <cols>
    <col min="1" max="1" width="4" style="13" customWidth="1"/>
    <col min="2" max="2" width="150.6640625" style="13" customWidth="1"/>
    <col min="3" max="16384" width="8.88671875" style="13"/>
  </cols>
  <sheetData>
    <row r="1" spans="1:2" x14ac:dyDescent="0.25">
      <c r="A1" s="27"/>
    </row>
    <row r="2" spans="1:2" ht="340.35" customHeight="1" x14ac:dyDescent="0.25">
      <c r="B2" s="15" t="s">
        <v>31</v>
      </c>
    </row>
    <row r="3" spans="1:2" ht="97.95" customHeight="1" x14ac:dyDescent="0.25">
      <c r="B3" s="16" t="s">
        <v>29</v>
      </c>
    </row>
    <row r="4" spans="1:2" ht="100.2" customHeight="1" x14ac:dyDescent="0.25">
      <c r="B4" s="17" t="s">
        <v>25</v>
      </c>
    </row>
    <row r="27" spans="2:2" x14ac:dyDescent="0.25">
      <c r="B27" s="13">
        <v>646</v>
      </c>
    </row>
  </sheetData>
  <sheetProtection selectLockedCells="1" selectUnlockedCells="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4.9989318521683403E-2"/>
    <pageSetUpPr fitToPage="1"/>
  </sheetPr>
  <dimension ref="B1:R497"/>
  <sheetViews>
    <sheetView showGridLines="0" showRuler="0" topLeftCell="F25" zoomScale="130" zoomScaleNormal="130" workbookViewId="0">
      <selection activeCell="Q42" sqref="Q42"/>
    </sheetView>
  </sheetViews>
  <sheetFormatPr defaultColWidth="9.109375" defaultRowHeight="13.8" x14ac:dyDescent="0.3"/>
  <cols>
    <col min="1" max="1" width="5.44140625" style="96" customWidth="1"/>
    <col min="2" max="2" width="26.44140625" style="96" customWidth="1"/>
    <col min="3" max="4" width="13.33203125" style="96" customWidth="1"/>
    <col min="5" max="5" width="14.88671875" style="96" bestFit="1" customWidth="1"/>
    <col min="6" max="6" width="13.33203125" style="96" customWidth="1"/>
    <col min="7" max="7" width="3" style="96" customWidth="1"/>
    <col min="8" max="8" width="11" style="87" customWidth="1"/>
    <col min="9" max="9" width="11" style="440" customWidth="1"/>
    <col min="10" max="10" width="20.33203125" style="87" customWidth="1"/>
    <col min="11" max="11" width="29.109375" style="87" customWidth="1"/>
    <col min="12" max="12" width="22.6640625" style="87" bestFit="1" customWidth="1"/>
    <col min="13" max="13" width="11" style="87" customWidth="1"/>
    <col min="14" max="15" width="11" style="99" customWidth="1"/>
    <col min="16" max="16" width="11" style="440" customWidth="1"/>
    <col min="17" max="17" width="11" style="436" customWidth="1"/>
    <col min="18" max="18" width="10.33203125" style="440" customWidth="1"/>
    <col min="19" max="16384" width="9.109375" style="96"/>
  </cols>
  <sheetData>
    <row r="1" spans="2:18" x14ac:dyDescent="0.3">
      <c r="C1" s="420"/>
      <c r="D1" s="420"/>
      <c r="E1" s="420"/>
      <c r="F1" s="420"/>
      <c r="G1" s="420"/>
      <c r="H1" s="421" t="s">
        <v>909</v>
      </c>
      <c r="I1" s="423"/>
      <c r="J1" s="421"/>
      <c r="K1" s="421"/>
      <c r="L1" s="422"/>
      <c r="M1" s="422" t="s">
        <v>440</v>
      </c>
      <c r="N1" s="432">
        <f ca="1">NOW()</f>
        <v>44534.888377430558</v>
      </c>
      <c r="O1" s="432"/>
      <c r="P1" s="437"/>
      <c r="Q1" s="434"/>
      <c r="R1" s="437"/>
    </row>
    <row r="2" spans="2:18" ht="27.6" x14ac:dyDescent="0.3">
      <c r="B2" s="420"/>
      <c r="C2" s="420"/>
      <c r="D2" s="420"/>
      <c r="E2" s="420"/>
      <c r="F2" s="420"/>
      <c r="G2" s="420"/>
      <c r="H2" s="303" t="s">
        <v>12</v>
      </c>
      <c r="I2" s="438" t="s">
        <v>1</v>
      </c>
      <c r="J2" s="303" t="s">
        <v>409</v>
      </c>
      <c r="K2" s="303" t="s">
        <v>2</v>
      </c>
      <c r="L2" s="303" t="s">
        <v>4</v>
      </c>
      <c r="M2" s="303" t="s">
        <v>21</v>
      </c>
      <c r="N2" s="450" t="s">
        <v>11</v>
      </c>
      <c r="O2" s="433" t="s">
        <v>407</v>
      </c>
      <c r="P2" s="438" t="s">
        <v>406</v>
      </c>
      <c r="Q2" s="435" t="s">
        <v>408</v>
      </c>
      <c r="R2" s="438" t="s">
        <v>625</v>
      </c>
    </row>
    <row r="3" spans="2:18" ht="14.4" customHeight="1" x14ac:dyDescent="0.3">
      <c r="B3" s="420"/>
      <c r="C3" s="420"/>
      <c r="D3" s="420"/>
      <c r="E3" s="420"/>
      <c r="F3" s="420"/>
      <c r="G3" s="420"/>
      <c r="H3" s="286"/>
      <c r="I3" s="383"/>
      <c r="J3" s="285" t="s">
        <v>5</v>
      </c>
      <c r="K3" s="285"/>
      <c r="L3" s="285" t="s">
        <v>5</v>
      </c>
      <c r="M3" s="446"/>
      <c r="N3" s="451">
        <v>13761.47</v>
      </c>
      <c r="O3" s="451">
        <f>+CkReg16_18151715[[#This Row],[Deposit]]</f>
        <v>13761.47</v>
      </c>
      <c r="P3" s="376" t="s">
        <v>353</v>
      </c>
      <c r="Q3" s="457">
        <f>+CkReg16_18151715[[#This Row],[Deposit]]</f>
        <v>13761.47</v>
      </c>
      <c r="R3" s="376"/>
    </row>
    <row r="4" spans="2:18" ht="14.4" customHeight="1" x14ac:dyDescent="0.3">
      <c r="B4" s="420"/>
      <c r="C4" s="420"/>
      <c r="D4" s="420"/>
      <c r="E4" s="420"/>
      <c r="F4" s="420"/>
      <c r="G4" s="420"/>
      <c r="H4" s="286">
        <v>3349</v>
      </c>
      <c r="I4" s="383">
        <v>43806</v>
      </c>
      <c r="J4" s="285" t="s">
        <v>79</v>
      </c>
      <c r="K4" s="285" t="s">
        <v>917</v>
      </c>
      <c r="L4" s="285" t="s">
        <v>59</v>
      </c>
      <c r="M4" s="446">
        <v>300</v>
      </c>
      <c r="N4" s="451"/>
      <c r="O4" s="451">
        <f>IF(ISBLANK(CkReg16_18151715[[#This Row],[Withdrawal]]),O3+CkReg16_18151715[[#This Row],[Deposit]],O3-CkReg16_18151715[[#This Row],[Withdrawal]])</f>
        <v>13461.47</v>
      </c>
      <c r="P4" s="376">
        <v>43818</v>
      </c>
      <c r="Q4" s="457">
        <v>13461.47</v>
      </c>
      <c r="R4" s="376">
        <v>43830</v>
      </c>
    </row>
    <row r="5" spans="2:18" ht="14.4" customHeight="1" x14ac:dyDescent="0.3">
      <c r="B5" s="420"/>
      <c r="C5" s="420"/>
      <c r="D5" s="420"/>
      <c r="E5" s="420"/>
      <c r="F5" s="420"/>
      <c r="G5" s="420"/>
      <c r="H5" s="286"/>
      <c r="I5" s="383">
        <v>43831</v>
      </c>
      <c r="J5" s="285" t="s">
        <v>55</v>
      </c>
      <c r="K5" s="285"/>
      <c r="L5" s="285" t="s">
        <v>55</v>
      </c>
      <c r="M5" s="446">
        <v>3000</v>
      </c>
      <c r="N5" s="451"/>
      <c r="O5" s="451">
        <f>IF(ISBLANK(CkReg16_18151715[[#This Row],[Withdrawal]]),O4+CkReg16_18151715[[#This Row],[Deposit]],O4-CkReg16_18151715[[#This Row],[Withdrawal]])</f>
        <v>10461.469999999999</v>
      </c>
      <c r="P5" s="376" t="s">
        <v>353</v>
      </c>
      <c r="Q5" s="457">
        <v>13461.47</v>
      </c>
      <c r="R5" s="376"/>
    </row>
    <row r="6" spans="2:18" ht="14.4" customHeight="1" x14ac:dyDescent="0.3">
      <c r="B6" s="420"/>
      <c r="C6" s="420"/>
      <c r="D6" s="420"/>
      <c r="E6" s="420"/>
      <c r="F6" s="420"/>
      <c r="G6" s="420"/>
      <c r="H6" s="286"/>
      <c r="I6" s="383">
        <v>43831</v>
      </c>
      <c r="J6" s="285" t="s">
        <v>56</v>
      </c>
      <c r="K6" s="285"/>
      <c r="L6" s="285" t="s">
        <v>56</v>
      </c>
      <c r="M6" s="446">
        <v>4000</v>
      </c>
      <c r="N6" s="451"/>
      <c r="O6" s="451">
        <f>IF(ISBLANK(CkReg16_18151715[[#This Row],[Withdrawal]]),O5+CkReg16_18151715[[#This Row],[Deposit]],O5-CkReg16_18151715[[#This Row],[Withdrawal]])</f>
        <v>6461.4699999999993</v>
      </c>
      <c r="P6" s="376" t="s">
        <v>353</v>
      </c>
      <c r="Q6" s="457">
        <v>13461.47</v>
      </c>
      <c r="R6" s="376"/>
    </row>
    <row r="7" spans="2:18" ht="14.4" customHeight="1" x14ac:dyDescent="0.3">
      <c r="B7" s="420"/>
      <c r="C7" s="420"/>
      <c r="D7" s="420"/>
      <c r="E7" s="420"/>
      <c r="F7" s="420"/>
      <c r="G7" s="420"/>
      <c r="H7" s="286"/>
      <c r="I7" s="383">
        <v>43831</v>
      </c>
      <c r="J7" s="285" t="s">
        <v>391</v>
      </c>
      <c r="K7" s="285"/>
      <c r="L7" s="285" t="s">
        <v>703</v>
      </c>
      <c r="M7" s="446">
        <v>1715</v>
      </c>
      <c r="N7" s="451"/>
      <c r="O7" s="451">
        <f>IF(ISBLANK(CkReg16_18151715[[#This Row],[Withdrawal]]),O6+CkReg16_18151715[[#This Row],[Deposit]],O6-CkReg16_18151715[[#This Row],[Withdrawal]])</f>
        <v>4746.4699999999993</v>
      </c>
      <c r="P7" s="376" t="s">
        <v>353</v>
      </c>
      <c r="Q7" s="457">
        <v>13461.47</v>
      </c>
      <c r="R7" s="376"/>
    </row>
    <row r="8" spans="2:18" ht="14.4" customHeight="1" x14ac:dyDescent="0.3">
      <c r="B8" s="420"/>
      <c r="C8" s="420"/>
      <c r="D8" s="420"/>
      <c r="E8" s="420"/>
      <c r="F8" s="420"/>
      <c r="G8" s="420"/>
      <c r="H8" s="286">
        <v>3396</v>
      </c>
      <c r="I8" s="383">
        <v>43808</v>
      </c>
      <c r="J8" s="285" t="s">
        <v>898</v>
      </c>
      <c r="K8" s="285" t="s">
        <v>924</v>
      </c>
      <c r="L8" s="285" t="s">
        <v>34</v>
      </c>
      <c r="M8" s="446">
        <v>100</v>
      </c>
      <c r="N8" s="451"/>
      <c r="O8" s="451">
        <f>IF(ISBLANK(CkReg16_18151715[[#This Row],[Withdrawal]]),O7+CkReg16_18151715[[#This Row],[Deposit]],O7-CkReg16_18151715[[#This Row],[Withdrawal]])</f>
        <v>4646.4699999999993</v>
      </c>
      <c r="P8" s="376" t="s">
        <v>87</v>
      </c>
      <c r="Q8" s="457">
        <f>IF(ISBLANK(CkReg16_18151715[[#This Row],[Withdrawal]]),Q7+CkReg16_18151715[[#This Row],[Deposit]],Q7-CkReg16_18151715[[#This Row],[Withdrawal]])</f>
        <v>13361.47</v>
      </c>
      <c r="R8" s="376"/>
    </row>
    <row r="9" spans="2:18" ht="14.4" customHeight="1" x14ac:dyDescent="0.3">
      <c r="B9" s="420"/>
      <c r="C9" s="420"/>
      <c r="D9" s="420"/>
      <c r="E9" s="420"/>
      <c r="F9" s="420"/>
      <c r="G9" s="420"/>
      <c r="H9" s="286">
        <v>3393</v>
      </c>
      <c r="I9" s="383">
        <v>43806</v>
      </c>
      <c r="J9" s="285" t="s">
        <v>80</v>
      </c>
      <c r="K9" s="285"/>
      <c r="L9" s="285" t="s">
        <v>58</v>
      </c>
      <c r="M9" s="446">
        <v>460.98</v>
      </c>
      <c r="N9" s="451"/>
      <c r="O9" s="451">
        <f>IF(ISBLANK(CkReg16_18151715[[#This Row],[Withdrawal]]),O8+CkReg16_18151715[[#This Row],[Deposit]],O8-CkReg16_18151715[[#This Row],[Withdrawal]])</f>
        <v>4185.49</v>
      </c>
      <c r="P9" s="376">
        <v>43864</v>
      </c>
      <c r="Q9" s="457">
        <f>IF(ISBLANK(CkReg16_18151715[[#This Row],[Withdrawal]]),Q8+CkReg16_18151715[[#This Row],[Deposit]],Q8-CkReg16_18151715[[#This Row],[Withdrawal]])</f>
        <v>12900.49</v>
      </c>
      <c r="R9" s="376"/>
    </row>
    <row r="10" spans="2:18" ht="14.4" customHeight="1" x14ac:dyDescent="0.3">
      <c r="B10" s="420"/>
      <c r="C10" s="420"/>
      <c r="D10" s="420"/>
      <c r="E10" s="420"/>
      <c r="F10" s="420"/>
      <c r="G10" s="420"/>
      <c r="H10" s="286"/>
      <c r="I10" s="383">
        <v>43831</v>
      </c>
      <c r="J10" s="285"/>
      <c r="K10" s="285" t="s">
        <v>910</v>
      </c>
      <c r="L10" s="285" t="s">
        <v>33</v>
      </c>
      <c r="M10" s="446"/>
      <c r="N10" s="451">
        <v>185</v>
      </c>
      <c r="O10" s="451">
        <f>IF(ISBLANK(CkReg16_18151715[[#This Row],[Withdrawal]]),O9+CkReg16_18151715[[#This Row],[Deposit]],O9-CkReg16_18151715[[#This Row],[Withdrawal]])</f>
        <v>4370.49</v>
      </c>
      <c r="P10" s="376">
        <v>43832</v>
      </c>
      <c r="Q10" s="457">
        <f>IF(ISBLANK(CkReg16_18151715[[#This Row],[Withdrawal]]),Q9+CkReg16_18151715[[#This Row],[Deposit]],Q9-CkReg16_18151715[[#This Row],[Withdrawal]])</f>
        <v>13085.49</v>
      </c>
      <c r="R10" s="376"/>
    </row>
    <row r="11" spans="2:18" ht="14.4" customHeight="1" x14ac:dyDescent="0.3">
      <c r="B11" s="420"/>
      <c r="C11" s="420"/>
      <c r="D11" s="420"/>
      <c r="E11" s="420"/>
      <c r="F11" s="420"/>
      <c r="G11" s="420"/>
      <c r="H11" s="286"/>
      <c r="I11" s="383">
        <v>43861</v>
      </c>
      <c r="J11" s="285"/>
      <c r="K11" s="285"/>
      <c r="L11" s="285" t="s">
        <v>91</v>
      </c>
      <c r="M11" s="446">
        <v>-0.56999999999999995</v>
      </c>
      <c r="N11" s="451"/>
      <c r="O11" s="451">
        <f>IF(ISBLANK(CkReg16_18151715[[#This Row],[Withdrawal]]),O10+CkReg16_18151715[[#This Row],[Deposit]],O10-CkReg16_18151715[[#This Row],[Withdrawal]])</f>
        <v>4371.0599999999995</v>
      </c>
      <c r="P11" s="376">
        <v>43861</v>
      </c>
      <c r="Q11" s="457">
        <f>IF(ISBLANK(CkReg16_18151715[[#This Row],[Withdrawal]]),Q10+CkReg16_18151715[[#This Row],[Deposit]],Q10-CkReg16_18151715[[#This Row],[Withdrawal]])</f>
        <v>13086.06</v>
      </c>
      <c r="R11" s="376">
        <v>43861</v>
      </c>
    </row>
    <row r="12" spans="2:18" ht="14.4" customHeight="1" x14ac:dyDescent="0.3">
      <c r="B12" s="420"/>
      <c r="C12" s="420"/>
      <c r="D12" s="420"/>
      <c r="E12" s="420"/>
      <c r="F12" s="420"/>
      <c r="G12" s="420"/>
      <c r="H12" s="286">
        <v>3399</v>
      </c>
      <c r="I12" s="383">
        <v>43862</v>
      </c>
      <c r="J12" s="285" t="s">
        <v>92</v>
      </c>
      <c r="K12" s="285" t="s">
        <v>927</v>
      </c>
      <c r="L12" s="285" t="s">
        <v>43</v>
      </c>
      <c r="M12" s="446">
        <v>75</v>
      </c>
      <c r="N12" s="451"/>
      <c r="O12" s="451">
        <f>IF(ISBLANK(CkReg16_18151715[[#This Row],[Withdrawal]]),O11+CkReg16_18151715[[#This Row],[Deposit]],O11-CkReg16_18151715[[#This Row],[Withdrawal]])</f>
        <v>4296.0599999999995</v>
      </c>
      <c r="P12" s="376">
        <v>43866</v>
      </c>
      <c r="Q12" s="457">
        <f>IF(ISBLANK(CkReg16_18151715[[#This Row],[Withdrawal]]),Q11+CkReg16_18151715[[#This Row],[Deposit]],Q11-CkReg16_18151715[[#This Row],[Withdrawal]])</f>
        <v>13011.06</v>
      </c>
      <c r="R12" s="376"/>
    </row>
    <row r="13" spans="2:18" ht="13.65" customHeight="1" x14ac:dyDescent="0.3">
      <c r="B13" s="420"/>
      <c r="C13" s="420"/>
      <c r="D13" s="420"/>
      <c r="E13" s="420"/>
      <c r="F13" s="420"/>
      <c r="G13" s="420"/>
      <c r="H13" s="286">
        <v>3400</v>
      </c>
      <c r="I13" s="383">
        <v>43862</v>
      </c>
      <c r="J13" s="285" t="s">
        <v>829</v>
      </c>
      <c r="K13" s="285" t="s">
        <v>928</v>
      </c>
      <c r="L13" s="285" t="s">
        <v>52</v>
      </c>
      <c r="M13" s="446">
        <v>20</v>
      </c>
      <c r="N13" s="451"/>
      <c r="O13" s="451">
        <f>IF(ISBLANK(CkReg16_18151715[[#This Row],[Withdrawal]]),O12+CkReg16_18151715[[#This Row],[Deposit]],O12-CkReg16_18151715[[#This Row],[Withdrawal]])</f>
        <v>4276.0599999999995</v>
      </c>
      <c r="P13" s="376">
        <v>43879</v>
      </c>
      <c r="Q13" s="457">
        <f>IF(ISBLANK(CkReg16_18151715[[#This Row],[Withdrawal]]),Q12+CkReg16_18151715[[#This Row],[Deposit]],Q12-CkReg16_18151715[[#This Row],[Withdrawal]])</f>
        <v>12991.06</v>
      </c>
      <c r="R13" s="376"/>
    </row>
    <row r="14" spans="2:18" ht="14.4" customHeight="1" x14ac:dyDescent="0.3">
      <c r="B14" s="424" t="s">
        <v>439</v>
      </c>
      <c r="C14" s="425"/>
      <c r="D14" s="426" t="s">
        <v>440</v>
      </c>
      <c r="E14" s="426"/>
      <c r="F14" s="427">
        <f ca="1">NOW()</f>
        <v>44534.888377430558</v>
      </c>
      <c r="G14" s="420"/>
      <c r="H14" s="286">
        <v>3426</v>
      </c>
      <c r="I14" s="383">
        <v>43862</v>
      </c>
      <c r="J14" s="285" t="s">
        <v>929</v>
      </c>
      <c r="K14" s="285" t="s">
        <v>930</v>
      </c>
      <c r="L14" s="285" t="s">
        <v>69</v>
      </c>
      <c r="M14" s="446">
        <v>200</v>
      </c>
      <c r="N14" s="451"/>
      <c r="O14" s="451">
        <f>IF(ISBLANK(CkReg16_18151715[[#This Row],[Withdrawal]]),O13+CkReg16_18151715[[#This Row],[Deposit]],O13-CkReg16_18151715[[#This Row],[Withdrawal]])</f>
        <v>4076.0599999999995</v>
      </c>
      <c r="P14" s="376">
        <v>43900</v>
      </c>
      <c r="Q14" s="457">
        <f>IF(ISBLANK(CkReg16_18151715[[#This Row],[Withdrawal]]),Q13+CkReg16_18151715[[#This Row],[Deposit]],Q13-CkReg16_18151715[[#This Row],[Withdrawal]])</f>
        <v>12791.06</v>
      </c>
      <c r="R14" s="376"/>
    </row>
    <row r="15" spans="2:18" ht="14.4" customHeight="1" x14ac:dyDescent="0.3">
      <c r="B15" s="91"/>
      <c r="C15" s="91"/>
      <c r="D15" s="420"/>
      <c r="E15" s="420"/>
      <c r="F15" s="428" t="s">
        <v>142</v>
      </c>
      <c r="G15" s="428"/>
      <c r="H15" s="286">
        <v>3427</v>
      </c>
      <c r="I15" s="383">
        <v>43862</v>
      </c>
      <c r="J15" s="285" t="s">
        <v>931</v>
      </c>
      <c r="K15" s="285" t="s">
        <v>932</v>
      </c>
      <c r="L15" s="285" t="s">
        <v>39</v>
      </c>
      <c r="M15" s="446">
        <v>51.7</v>
      </c>
      <c r="N15" s="451"/>
      <c r="O15" s="451">
        <f>IF(ISBLANK(CkReg16_18151715[[#This Row],[Withdrawal]]),O14+CkReg16_18151715[[#This Row],[Deposit]],O14-CkReg16_18151715[[#This Row],[Withdrawal]])</f>
        <v>4024.3599999999997</v>
      </c>
      <c r="P15" s="376">
        <v>43885</v>
      </c>
      <c r="Q15" s="457">
        <f>IF(ISBLANK(CkReg16_18151715[[#This Row],[Withdrawal]]),Q14+CkReg16_18151715[[#This Row],[Deposit]],Q14-CkReg16_18151715[[#This Row],[Withdrawal]])</f>
        <v>12739.359999999999</v>
      </c>
      <c r="R15" s="376"/>
    </row>
    <row r="16" spans="2:18" ht="14.4" customHeight="1" x14ac:dyDescent="0.3">
      <c r="B16" s="420"/>
      <c r="C16" s="420"/>
      <c r="D16" s="420"/>
      <c r="E16" s="420"/>
      <c r="F16" s="420"/>
      <c r="G16" s="420"/>
      <c r="H16" s="286">
        <v>3428</v>
      </c>
      <c r="I16" s="383">
        <v>43862</v>
      </c>
      <c r="J16" s="285" t="s">
        <v>912</v>
      </c>
      <c r="K16" s="285" t="s">
        <v>933</v>
      </c>
      <c r="L16" s="285" t="s">
        <v>47</v>
      </c>
      <c r="M16" s="446">
        <v>14</v>
      </c>
      <c r="N16" s="451"/>
      <c r="O16" s="451">
        <f>IF(ISBLANK(CkReg16_18151715[[#This Row],[Withdrawal]]),O15+CkReg16_18151715[[#This Row],[Deposit]],O15-CkReg16_18151715[[#This Row],[Withdrawal]])</f>
        <v>4010.3599999999997</v>
      </c>
      <c r="P16" s="376">
        <v>43886</v>
      </c>
      <c r="Q16" s="457">
        <f>IF(ISBLANK(CkReg16_18151715[[#This Row],[Withdrawal]]),Q15+CkReg16_18151715[[#This Row],[Deposit]],Q15-CkReg16_18151715[[#This Row],[Withdrawal]])</f>
        <v>12725.359999999999</v>
      </c>
      <c r="R16" s="376"/>
    </row>
    <row r="17" spans="2:18" x14ac:dyDescent="0.3">
      <c r="B17" s="91" t="s">
        <v>4</v>
      </c>
      <c r="C17" s="93" t="s">
        <v>438</v>
      </c>
      <c r="D17" s="93" t="s">
        <v>75</v>
      </c>
      <c r="E17" s="93" t="s">
        <v>871</v>
      </c>
      <c r="F17" s="93" t="s">
        <v>462</v>
      </c>
      <c r="H17" s="286">
        <v>3428</v>
      </c>
      <c r="I17" s="383">
        <v>43862</v>
      </c>
      <c r="J17" s="285" t="s">
        <v>912</v>
      </c>
      <c r="K17" s="285" t="s">
        <v>934</v>
      </c>
      <c r="L17" s="285" t="s">
        <v>49</v>
      </c>
      <c r="M17" s="446">
        <v>9.1999999999999993</v>
      </c>
      <c r="N17" s="451"/>
      <c r="O17" s="451">
        <f>IF(ISBLANK(CkReg16_18151715[[#This Row],[Withdrawal]]),O16+CkReg16_18151715[[#This Row],[Deposit]],O16-CkReg16_18151715[[#This Row],[Withdrawal]])</f>
        <v>4001.16</v>
      </c>
      <c r="P17" s="376">
        <v>43886</v>
      </c>
      <c r="Q17" s="457">
        <f>IF(ISBLANK(CkReg16_18151715[[#This Row],[Withdrawal]]),Q16+CkReg16_18151715[[#This Row],[Deposit]],Q16-CkReg16_18151715[[#This Row],[Withdrawal]])</f>
        <v>12716.159999999998</v>
      </c>
      <c r="R17" s="376"/>
    </row>
    <row r="18" spans="2:18" x14ac:dyDescent="0.3">
      <c r="B18" s="94" t="s">
        <v>5</v>
      </c>
      <c r="C18" s="95">
        <f>+N3</f>
        <v>13761.47</v>
      </c>
      <c r="D18" s="95">
        <v>14273.3</v>
      </c>
      <c r="E18" s="95">
        <v>13761.47</v>
      </c>
      <c r="F18" s="95">
        <f>-CategoryTable8121014161816[[#This Row],[Amended Budget]]+CategoryTable8121014161816[[#This Row],[Actual to date]]</f>
        <v>0</v>
      </c>
      <c r="G18" s="429"/>
      <c r="H18" s="286">
        <v>3428</v>
      </c>
      <c r="I18" s="383">
        <v>43862</v>
      </c>
      <c r="J18" s="285" t="s">
        <v>912</v>
      </c>
      <c r="K18" s="285" t="s">
        <v>936</v>
      </c>
      <c r="L18" s="285" t="s">
        <v>34</v>
      </c>
      <c r="M18" s="446">
        <v>32.61</v>
      </c>
      <c r="N18" s="451"/>
      <c r="O18" s="451">
        <f>IF(ISBLANK(CkReg16_18151715[[#This Row],[Withdrawal]]),O17+CkReg16_18151715[[#This Row],[Deposit]],O17-CkReg16_18151715[[#This Row],[Withdrawal]])</f>
        <v>3968.5499999999997</v>
      </c>
      <c r="P18" s="376">
        <v>43886</v>
      </c>
      <c r="Q18" s="457">
        <f>IF(ISBLANK(CkReg16_18151715[[#This Row],[Withdrawal]]),Q17+CkReg16_18151715[[#This Row],[Deposit]],Q17-CkReg16_18151715[[#This Row],[Withdrawal]])</f>
        <v>12683.549999999997</v>
      </c>
      <c r="R18" s="376"/>
    </row>
    <row r="19" spans="2:18" x14ac:dyDescent="0.3">
      <c r="B19" s="94" t="s">
        <v>219</v>
      </c>
      <c r="C19" s="95">
        <f>SUMIF(CkReg16_18151715[Category],"=" &amp;CategoryTable8121014161816[[#This Row],[Category]],CkReg16_18151715[Deposit])</f>
        <v>798.49</v>
      </c>
      <c r="D19" s="95">
        <v>1150</v>
      </c>
      <c r="E19" s="95">
        <v>1150</v>
      </c>
      <c r="F19" s="95">
        <f>-CategoryTable8121014161816[[#This Row],[Amended Budget]]+CategoryTable8121014161816[[#This Row],[Actual to date]]</f>
        <v>-351.51</v>
      </c>
      <c r="G19" s="93"/>
      <c r="H19" s="286">
        <v>3428</v>
      </c>
      <c r="I19" s="383">
        <v>43862</v>
      </c>
      <c r="J19" s="285" t="s">
        <v>912</v>
      </c>
      <c r="K19" s="285" t="s">
        <v>935</v>
      </c>
      <c r="L19" s="285" t="s">
        <v>34</v>
      </c>
      <c r="M19" s="446">
        <v>-16.47</v>
      </c>
      <c r="N19" s="451"/>
      <c r="O19" s="451">
        <f>IF(ISBLANK(CkReg16_18151715[[#This Row],[Withdrawal]]),O18+CkReg16_18151715[[#This Row],[Deposit]],O18-CkReg16_18151715[[#This Row],[Withdrawal]])</f>
        <v>3985.0199999999995</v>
      </c>
      <c r="P19" s="376">
        <v>43886</v>
      </c>
      <c r="Q19" s="457">
        <f>IF(ISBLANK(CkReg16_18151715[[#This Row],[Withdrawal]]),Q18+CkReg16_18151715[[#This Row],[Deposit]],Q18-CkReg16_18151715[[#This Row],[Withdrawal]])</f>
        <v>12700.019999999997</v>
      </c>
      <c r="R19" s="376"/>
    </row>
    <row r="20" spans="2:18" x14ac:dyDescent="0.3">
      <c r="B20" s="94" t="s">
        <v>572</v>
      </c>
      <c r="C20" s="95">
        <f>-(SUMIF(CkReg16_18151715[Category],"=" &amp;CategoryTable8121014161816[[#This Row],[Category]],CkReg16_18151715[Withdrawal]))</f>
        <v>0</v>
      </c>
      <c r="D20" s="95">
        <v>0</v>
      </c>
      <c r="E20" s="95">
        <v>0</v>
      </c>
      <c r="F20" s="95">
        <f>-CategoryTable8121014161816[[#This Row],[Amended Budget]]+CategoryTable8121014161816[[#This Row],[Actual to date]]</f>
        <v>0</v>
      </c>
      <c r="G20" s="95"/>
      <c r="H20" s="286">
        <v>3429</v>
      </c>
      <c r="I20" s="383">
        <v>43862</v>
      </c>
      <c r="J20" s="285" t="s">
        <v>84</v>
      </c>
      <c r="K20" s="285" t="s">
        <v>937</v>
      </c>
      <c r="L20" s="285" t="s">
        <v>51</v>
      </c>
      <c r="M20" s="446">
        <v>290</v>
      </c>
      <c r="N20" s="451"/>
      <c r="O20" s="451">
        <f>IF(ISBLANK(CkReg16_18151715[[#This Row],[Withdrawal]]),O19+CkReg16_18151715[[#This Row],[Deposit]],O19-CkReg16_18151715[[#This Row],[Withdrawal]])</f>
        <v>3695.0199999999995</v>
      </c>
      <c r="P20" s="376" t="s">
        <v>87</v>
      </c>
      <c r="Q20" s="457">
        <f>IF(ISBLANK(CkReg16_18151715[[#This Row],[Withdrawal]]),Q19+CkReg16_18151715[[#This Row],[Deposit]],Q19-CkReg16_18151715[[#This Row],[Withdrawal]])</f>
        <v>12410.019999999997</v>
      </c>
      <c r="R20" s="376"/>
    </row>
    <row r="21" spans="2:18" x14ac:dyDescent="0.3">
      <c r="B21" s="94" t="s">
        <v>571</v>
      </c>
      <c r="C21" s="95">
        <f>SUMIF(CkReg16_18151715[Category],"=" &amp;CategoryTable8121014161816[[#This Row],[Category]],CkReg16_18151715[Deposit])</f>
        <v>0</v>
      </c>
      <c r="D21" s="95">
        <v>0</v>
      </c>
      <c r="E21" s="95">
        <v>0</v>
      </c>
      <c r="F21" s="95">
        <f>-CategoryTable8121014161816[[#This Row],[Amended Budget]]+CategoryTable8121014161816[[#This Row],[Actual to date]]</f>
        <v>0</v>
      </c>
      <c r="G21" s="95"/>
      <c r="H21" s="286">
        <v>3430</v>
      </c>
      <c r="I21" s="383">
        <v>43862</v>
      </c>
      <c r="J21" s="285" t="s">
        <v>136</v>
      </c>
      <c r="K21" s="285" t="s">
        <v>938</v>
      </c>
      <c r="L21" s="285" t="s">
        <v>34</v>
      </c>
      <c r="M21" s="446">
        <v>100</v>
      </c>
      <c r="N21" s="451"/>
      <c r="O21" s="451">
        <f>IF(ISBLANK(CkReg16_18151715[[#This Row],[Withdrawal]]),O20+CkReg16_18151715[[#This Row],[Deposit]],O20-CkReg16_18151715[[#This Row],[Withdrawal]])</f>
        <v>3595.0199999999995</v>
      </c>
      <c r="P21" s="376">
        <v>43872</v>
      </c>
      <c r="Q21" s="457">
        <f>IF(ISBLANK(CkReg16_18151715[[#This Row],[Withdrawal]]),Q20+CkReg16_18151715[[#This Row],[Deposit]],Q20-CkReg16_18151715[[#This Row],[Withdrawal]])</f>
        <v>12310.019999999997</v>
      </c>
      <c r="R21" s="376"/>
    </row>
    <row r="22" spans="2:18" x14ac:dyDescent="0.3">
      <c r="B22" s="94" t="s">
        <v>976</v>
      </c>
      <c r="C22" s="95">
        <f>SUMIF(CkReg16_18151715[Category],"=" &amp;CategoryTable8121014161816[[#This Row],[Category]],CkReg16_18151715[Deposit])</f>
        <v>50.97</v>
      </c>
      <c r="D22" s="95">
        <v>0</v>
      </c>
      <c r="E22" s="95">
        <v>0</v>
      </c>
      <c r="F22" s="95">
        <f>-CategoryTable8121014161816[[#This Row],[Amended Budget]]+CategoryTable8121014161816[[#This Row],[Actual to date]]</f>
        <v>50.97</v>
      </c>
      <c r="G22" s="95"/>
      <c r="H22" s="286"/>
      <c r="I22" s="383">
        <v>43862</v>
      </c>
      <c r="J22" s="285"/>
      <c r="K22" s="285" t="s">
        <v>32</v>
      </c>
      <c r="L22" s="285" t="s">
        <v>219</v>
      </c>
      <c r="M22" s="446"/>
      <c r="N22" s="451">
        <v>315</v>
      </c>
      <c r="O22" s="451">
        <f>IF(ISBLANK(CkReg16_18151715[[#This Row],[Withdrawal]]),O21+CkReg16_18151715[[#This Row],[Deposit]],O21-CkReg16_18151715[[#This Row],[Withdrawal]])</f>
        <v>3910.0199999999995</v>
      </c>
      <c r="P22" s="376">
        <v>43864</v>
      </c>
      <c r="Q22" s="457">
        <f>IF(ISBLANK(CkReg16_18151715[[#This Row],[Withdrawal]]),Q21+CkReg16_18151715[[#This Row],[Deposit]],Q21-CkReg16_18151715[[#This Row],[Withdrawal]])</f>
        <v>12625.019999999997</v>
      </c>
      <c r="R22" s="376"/>
    </row>
    <row r="23" spans="2:18" x14ac:dyDescent="0.3">
      <c r="B23" s="94" t="s">
        <v>33</v>
      </c>
      <c r="C23" s="95">
        <f>SUMIF(CkReg16_18151715[Category],"=" &amp;CategoryTable8121014161816[[#This Row],[Category]],CkReg16_18151715[Deposit])</f>
        <v>185</v>
      </c>
      <c r="D23" s="95">
        <v>1000</v>
      </c>
      <c r="E23" s="95">
        <v>1000</v>
      </c>
      <c r="F23" s="95">
        <f>-CategoryTable8121014161816[[#This Row],[Amended Budget]]+CategoryTable8121014161816[[#This Row],[Actual to date]]</f>
        <v>-815</v>
      </c>
      <c r="G23" s="95"/>
      <c r="H23" s="286"/>
      <c r="I23" s="383">
        <v>43889</v>
      </c>
      <c r="J23" s="285"/>
      <c r="K23" s="285"/>
      <c r="L23" s="285" t="s">
        <v>91</v>
      </c>
      <c r="M23" s="446">
        <v>-0.52</v>
      </c>
      <c r="N23" s="451"/>
      <c r="O23" s="451">
        <f>IF(ISBLANK(CkReg16_18151715[[#This Row],[Withdrawal]]),O22+CkReg16_18151715[[#This Row],[Deposit]],O22-CkReg16_18151715[[#This Row],[Withdrawal]])</f>
        <v>3910.5399999999995</v>
      </c>
      <c r="P23" s="376">
        <v>43889</v>
      </c>
      <c r="Q23" s="457">
        <f>IF(ISBLANK(CkReg16_18151715[[#This Row],[Withdrawal]]),Q22+CkReg16_18151715[[#This Row],[Deposit]],Q22-CkReg16_18151715[[#This Row],[Withdrawal]])</f>
        <v>12625.539999999997</v>
      </c>
      <c r="R23" s="376">
        <v>43890</v>
      </c>
    </row>
    <row r="24" spans="2:18" x14ac:dyDescent="0.3">
      <c r="B24" s="94" t="s">
        <v>34</v>
      </c>
      <c r="C24" s="95">
        <f>-(SUMIF(CkReg16_18151715[Category],"=" &amp;CategoryTable8121014161816[[#This Row],[Category]],CkReg16_18151715[Withdrawal]))</f>
        <v>-116.14000000000001</v>
      </c>
      <c r="D24" s="95">
        <v>-1500</v>
      </c>
      <c r="E24" s="95">
        <v>-1500</v>
      </c>
      <c r="F24" s="95">
        <f>-CategoryTable8121014161816[[#This Row],[Amended Budget]]+CategoryTable8121014161816[[#This Row],[Actual to date]]</f>
        <v>1383.86</v>
      </c>
      <c r="G24" s="95"/>
      <c r="H24" s="286"/>
      <c r="I24" s="383">
        <v>43921</v>
      </c>
      <c r="J24" s="285"/>
      <c r="K24" s="285"/>
      <c r="L24" s="285" t="s">
        <v>91</v>
      </c>
      <c r="M24" s="446">
        <v>-0.55000000000000004</v>
      </c>
      <c r="N24" s="451"/>
      <c r="O24" s="451">
        <f>IF(ISBLANK(CkReg16_18151715[[#This Row],[Withdrawal]]),O23+CkReg16_18151715[[#This Row],[Deposit]],O23-CkReg16_18151715[[#This Row],[Withdrawal]])</f>
        <v>3911.0899999999997</v>
      </c>
      <c r="P24" s="376">
        <v>43921</v>
      </c>
      <c r="Q24" s="457">
        <f>IF(ISBLANK(CkReg16_18151715[[#This Row],[Withdrawal]]),Q23+CkReg16_18151715[[#This Row],[Deposit]],Q23-CkReg16_18151715[[#This Row],[Withdrawal]])</f>
        <v>12626.089999999997</v>
      </c>
      <c r="R24" s="376">
        <v>43921</v>
      </c>
    </row>
    <row r="25" spans="2:18" x14ac:dyDescent="0.3">
      <c r="B25" s="94" t="s">
        <v>37</v>
      </c>
      <c r="C25" s="95">
        <f>-(SUMIF(CkReg16_18151715[Category],"=" &amp;CategoryTable8121014161816[[#This Row],[Category]],CkReg16_18151715[Withdrawal]))</f>
        <v>0</v>
      </c>
      <c r="D25" s="95">
        <v>-100</v>
      </c>
      <c r="E25" s="95">
        <v>-100</v>
      </c>
      <c r="F25" s="95">
        <f>-CategoryTable8121014161816[[#This Row],[Amended Budget]]+CategoryTable8121014161816[[#This Row],[Actual to date]]</f>
        <v>100</v>
      </c>
      <c r="G25" s="95"/>
      <c r="H25" s="286">
        <v>3431</v>
      </c>
      <c r="I25" s="383">
        <v>43951</v>
      </c>
      <c r="J25" s="285"/>
      <c r="K25" s="285" t="s">
        <v>939</v>
      </c>
      <c r="L25" s="285" t="s">
        <v>45</v>
      </c>
      <c r="M25" s="446">
        <v>106</v>
      </c>
      <c r="N25" s="451"/>
      <c r="O25" s="451">
        <f>IF(ISBLANK(CkReg16_18151715[[#This Row],[Withdrawal]]),O24+CkReg16_18151715[[#This Row],[Deposit]],O24-CkReg16_18151715[[#This Row],[Withdrawal]])</f>
        <v>3805.0899999999997</v>
      </c>
      <c r="P25" s="376">
        <v>43956</v>
      </c>
      <c r="Q25" s="457">
        <f>IF(ISBLANK(CkReg16_18151715[[#This Row],[Withdrawal]]),Q24+CkReg16_18151715[[#This Row],[Deposit]],Q24-CkReg16_18151715[[#This Row],[Withdrawal]])</f>
        <v>12520.089999999997</v>
      </c>
      <c r="R25" s="376"/>
    </row>
    <row r="26" spans="2:18" x14ac:dyDescent="0.3">
      <c r="B26" s="94" t="s">
        <v>39</v>
      </c>
      <c r="C26" s="95">
        <f>-(SUMIF(CkReg16_18151715[Category],"=" &amp;CategoryTable8121014161816[[#This Row],[Category]],CkReg16_18151715[Withdrawal]))</f>
        <v>-51.7</v>
      </c>
      <c r="D26" s="95">
        <v>-350</v>
      </c>
      <c r="E26" s="95">
        <v>-350</v>
      </c>
      <c r="F26" s="95">
        <f>-CategoryTable8121014161816[[#This Row],[Amended Budget]]+CategoryTable8121014161816[[#This Row],[Actual to date]]</f>
        <v>298.3</v>
      </c>
      <c r="G26" s="95"/>
      <c r="H26" s="286"/>
      <c r="I26" s="383">
        <v>43951</v>
      </c>
      <c r="J26" s="285"/>
      <c r="K26" s="285"/>
      <c r="L26" s="285" t="s">
        <v>91</v>
      </c>
      <c r="M26" s="446">
        <v>-0.53</v>
      </c>
      <c r="N26" s="451"/>
      <c r="O26" s="451">
        <f>IF(ISBLANK(CkReg16_18151715[[#This Row],[Withdrawal]]),O25+CkReg16_18151715[[#This Row],[Deposit]],O25-CkReg16_18151715[[#This Row],[Withdrawal]])</f>
        <v>3805.62</v>
      </c>
      <c r="P26" s="376">
        <v>43951</v>
      </c>
      <c r="Q26" s="457">
        <f>IF(ISBLANK(CkReg16_18151715[[#This Row],[Withdrawal]]),Q25+CkReg16_18151715[[#This Row],[Deposit]],Q25-CkReg16_18151715[[#This Row],[Withdrawal]])</f>
        <v>12520.619999999997</v>
      </c>
      <c r="R26" s="376">
        <v>43951</v>
      </c>
    </row>
    <row r="27" spans="2:18" x14ac:dyDescent="0.3">
      <c r="B27" s="94" t="s">
        <v>40</v>
      </c>
      <c r="C27" s="95">
        <f>-(SUMIF(CkReg16_18151715[Category],"=" &amp;CategoryTable8121014161816[[#This Row],[Category]],CkReg16_18151715[Withdrawal]))</f>
        <v>0</v>
      </c>
      <c r="D27" s="95">
        <v>0</v>
      </c>
      <c r="E27" s="95">
        <v>0</v>
      </c>
      <c r="F27" s="95">
        <f>-CategoryTable8121014161816[[#This Row],[Amended Budget]]+CategoryTable8121014161816[[#This Row],[Actual to date]]</f>
        <v>0</v>
      </c>
      <c r="G27" s="95"/>
      <c r="H27" s="286"/>
      <c r="I27" s="383">
        <v>43980</v>
      </c>
      <c r="J27" s="285"/>
      <c r="K27" s="285"/>
      <c r="L27" s="285" t="s">
        <v>91</v>
      </c>
      <c r="M27" s="446">
        <v>-0.54</v>
      </c>
      <c r="N27" s="451"/>
      <c r="O27" s="451">
        <f>IF(ISBLANK(CkReg16_18151715[[#This Row],[Withdrawal]]),O26+CkReg16_18151715[[#This Row],[Deposit]],O26-CkReg16_18151715[[#This Row],[Withdrawal]])</f>
        <v>3806.16</v>
      </c>
      <c r="P27" s="376">
        <v>43980</v>
      </c>
      <c r="Q27" s="457">
        <f>IF(ISBLANK(CkReg16_18151715[[#This Row],[Withdrawal]]),Q26+CkReg16_18151715[[#This Row],[Deposit]],Q26-CkReg16_18151715[[#This Row],[Withdrawal]])</f>
        <v>12521.159999999998</v>
      </c>
      <c r="R27" s="376">
        <v>43982</v>
      </c>
    </row>
    <row r="28" spans="2:18" x14ac:dyDescent="0.3">
      <c r="B28" s="94" t="s">
        <v>91</v>
      </c>
      <c r="C28" s="95">
        <f>-(SUMIF(CkReg16_18151715[Category],"=" &amp;CategoryTable8121014161816[[#This Row],[Category]],CkReg16_18151715[Withdrawal]))</f>
        <v>3.67</v>
      </c>
      <c r="D28" s="95">
        <v>5</v>
      </c>
      <c r="E28" s="95">
        <v>5</v>
      </c>
      <c r="F28" s="95">
        <f>-CategoryTable8121014161816[[#This Row],[Amended Budget]]+CategoryTable8121014161816[[#This Row],[Actual to date]]</f>
        <v>-1.33</v>
      </c>
      <c r="G28" s="95"/>
      <c r="H28" s="286"/>
      <c r="I28" s="383">
        <v>44012</v>
      </c>
      <c r="J28" s="285"/>
      <c r="K28" s="285"/>
      <c r="L28" s="285" t="s">
        <v>91</v>
      </c>
      <c r="M28" s="446">
        <v>-0.33</v>
      </c>
      <c r="N28" s="451"/>
      <c r="O28" s="451">
        <f>IF(ISBLANK(CkReg16_18151715[[#This Row],[Withdrawal]]),O27+CkReg16_18151715[[#This Row],[Deposit]],O27-CkReg16_18151715[[#This Row],[Withdrawal]])</f>
        <v>3806.49</v>
      </c>
      <c r="P28" s="376">
        <v>44012</v>
      </c>
      <c r="Q28" s="457">
        <f>IF(ISBLANK(CkReg16_18151715[[#This Row],[Withdrawal]]),Q27+CkReg16_18151715[[#This Row],[Deposit]],Q27-CkReg16_18151715[[#This Row],[Withdrawal]])</f>
        <v>12521.489999999998</v>
      </c>
      <c r="R28" s="376">
        <v>44012</v>
      </c>
    </row>
    <row r="29" spans="2:18" x14ac:dyDescent="0.3">
      <c r="B29" s="94" t="s">
        <v>43</v>
      </c>
      <c r="C29" s="95">
        <f>-(SUMIF(CkReg16_18151715[Category],"=" &amp;CategoryTable8121014161816[[#This Row],[Category]],CkReg16_18151715[Withdrawal]))</f>
        <v>-75</v>
      </c>
      <c r="D29" s="95">
        <v>-450</v>
      </c>
      <c r="E29" s="95">
        <v>-450</v>
      </c>
      <c r="F29" s="95">
        <f>-CategoryTable8121014161816[[#This Row],[Amended Budget]]+CategoryTable8121014161816[[#This Row],[Actual to date]]</f>
        <v>375</v>
      </c>
      <c r="G29" s="95"/>
      <c r="H29" s="286"/>
      <c r="I29" s="383">
        <v>44029</v>
      </c>
      <c r="J29" s="285" t="s">
        <v>84</v>
      </c>
      <c r="K29" s="285" t="s">
        <v>940</v>
      </c>
      <c r="L29" s="285" t="s">
        <v>51</v>
      </c>
      <c r="M29" s="446"/>
      <c r="N29" s="451">
        <v>65</v>
      </c>
      <c r="O29" s="451">
        <f>IF(ISBLANK(CkReg16_18151715[[#This Row],[Withdrawal]]),O28+CkReg16_18151715[[#This Row],[Deposit]],O28-CkReg16_18151715[[#This Row],[Withdrawal]])</f>
        <v>3871.49</v>
      </c>
      <c r="P29" s="376">
        <v>44057</v>
      </c>
      <c r="Q29" s="457">
        <f>IF(ISBLANK(CkReg16_18151715[[#This Row],[Withdrawal]]),Q28+CkReg16_18151715[[#This Row],[Deposit]],Q28-CkReg16_18151715[[#This Row],[Withdrawal]])</f>
        <v>12586.489999999998</v>
      </c>
      <c r="R29" s="376"/>
    </row>
    <row r="30" spans="2:18" x14ac:dyDescent="0.3">
      <c r="B30" s="94" t="s">
        <v>44</v>
      </c>
      <c r="C30" s="95">
        <f>-(SUMIF(CkReg16_18151715[Category],"=" &amp;CategoryTable8121014161816[[#This Row],[Category]],CkReg16_18151715[Withdrawal]))</f>
        <v>0</v>
      </c>
      <c r="D30" s="95">
        <v>-50</v>
      </c>
      <c r="E30" s="95">
        <v>-50</v>
      </c>
      <c r="F30" s="95">
        <f>-CategoryTable8121014161816[[#This Row],[Amended Budget]]+CategoryTable8121014161816[[#This Row],[Actual to date]]</f>
        <v>50</v>
      </c>
      <c r="G30" s="95"/>
      <c r="H30" s="286"/>
      <c r="I30" s="383">
        <v>44029</v>
      </c>
      <c r="J30" s="285" t="s">
        <v>915</v>
      </c>
      <c r="K30" s="285" t="s">
        <v>32</v>
      </c>
      <c r="L30" s="285" t="s">
        <v>219</v>
      </c>
      <c r="M30" s="446"/>
      <c r="N30" s="451">
        <v>50</v>
      </c>
      <c r="O30" s="451">
        <f>IF(ISBLANK(CkReg16_18151715[[#This Row],[Withdrawal]]),O29+CkReg16_18151715[[#This Row],[Deposit]],O29-CkReg16_18151715[[#This Row],[Withdrawal]])</f>
        <v>3921.49</v>
      </c>
      <c r="P30" s="376">
        <v>44057</v>
      </c>
      <c r="Q30" s="457">
        <f>IF(ISBLANK(CkReg16_18151715[[#This Row],[Withdrawal]]),Q29+CkReg16_18151715[[#This Row],[Deposit]],Q29-CkReg16_18151715[[#This Row],[Withdrawal]])</f>
        <v>12636.489999999998</v>
      </c>
      <c r="R30" s="376"/>
    </row>
    <row r="31" spans="2:18" x14ac:dyDescent="0.3">
      <c r="B31" s="94" t="s">
        <v>45</v>
      </c>
      <c r="C31" s="95">
        <f>-(SUMIF(CkReg16_18151715[Category],"=" &amp;CategoryTable8121014161816[[#This Row],[Category]],CkReg16_18151715[Withdrawal]))</f>
        <v>-106</v>
      </c>
      <c r="D31" s="95">
        <v>-95</v>
      </c>
      <c r="E31" s="95">
        <v>-95</v>
      </c>
      <c r="F31" s="95">
        <f>-CategoryTable8121014161816[[#This Row],[Amended Budget]]+CategoryTable8121014161816[[#This Row],[Actual to date]]</f>
        <v>-11</v>
      </c>
      <c r="G31" s="95"/>
      <c r="H31" s="286"/>
      <c r="I31" s="383">
        <v>44029</v>
      </c>
      <c r="J31" s="285" t="s">
        <v>941</v>
      </c>
      <c r="K31" s="285" t="s">
        <v>32</v>
      </c>
      <c r="L31" s="285" t="s">
        <v>219</v>
      </c>
      <c r="M31" s="446"/>
      <c r="N31" s="451">
        <v>17</v>
      </c>
      <c r="O31" s="451">
        <f>IF(ISBLANK(CkReg16_18151715[[#This Row],[Withdrawal]]),O30+CkReg16_18151715[[#This Row],[Deposit]],O30-CkReg16_18151715[[#This Row],[Withdrawal]])</f>
        <v>3938.49</v>
      </c>
      <c r="P31" s="376">
        <v>44057</v>
      </c>
      <c r="Q31" s="457">
        <f>IF(ISBLANK(CkReg16_18151715[[#This Row],[Withdrawal]]),Q30+CkReg16_18151715[[#This Row],[Deposit]],Q30-CkReg16_18151715[[#This Row],[Withdrawal]])</f>
        <v>12653.489999999998</v>
      </c>
      <c r="R31" s="376"/>
    </row>
    <row r="32" spans="2:18" x14ac:dyDescent="0.3">
      <c r="B32" s="94" t="s">
        <v>46</v>
      </c>
      <c r="C32" s="95">
        <f>-(SUMIF(CkReg16_18151715[Category],"=" &amp;CategoryTable8121014161816[[#This Row],[Category]],CkReg16_18151715[Withdrawal]))</f>
        <v>0</v>
      </c>
      <c r="D32" s="95">
        <v>-1050</v>
      </c>
      <c r="E32" s="95">
        <v>-1050</v>
      </c>
      <c r="F32" s="95">
        <f>-CategoryTable8121014161816[[#This Row],[Amended Budget]]+CategoryTable8121014161816[[#This Row],[Actual to date]]</f>
        <v>1050</v>
      </c>
      <c r="G32" s="95"/>
      <c r="H32" s="286"/>
      <c r="I32" s="383">
        <v>44043</v>
      </c>
      <c r="J32" s="285"/>
      <c r="K32" s="285"/>
      <c r="L32" s="285" t="s">
        <v>91</v>
      </c>
      <c r="M32" s="446">
        <v>-0.1</v>
      </c>
      <c r="N32" s="451"/>
      <c r="O32" s="451">
        <f>IF(ISBLANK(CkReg16_18151715[[#This Row],[Withdrawal]]),O31+CkReg16_18151715[[#This Row],[Deposit]],O31-CkReg16_18151715[[#This Row],[Withdrawal]])</f>
        <v>3938.5899999999997</v>
      </c>
      <c r="P32" s="376">
        <v>44043</v>
      </c>
      <c r="Q32" s="457">
        <f>IF(ISBLANK(CkReg16_18151715[[#This Row],[Withdrawal]]),Q31+CkReg16_18151715[[#This Row],[Deposit]],Q31-CkReg16_18151715[[#This Row],[Withdrawal]])</f>
        <v>12653.589999999998</v>
      </c>
      <c r="R32" s="376">
        <v>44043</v>
      </c>
    </row>
    <row r="33" spans="2:18" x14ac:dyDescent="0.3">
      <c r="B33" s="94" t="s">
        <v>946</v>
      </c>
      <c r="C33" s="95">
        <f>-(SUMIF(CkReg16_18151715[Category],"=" &amp;CategoryTable8121014161816[[#This Row],[Category]],CkReg16_18151715[Withdrawal]))</f>
        <v>-146.79</v>
      </c>
      <c r="D33" s="95">
        <v>0</v>
      </c>
      <c r="E33" s="95">
        <v>0</v>
      </c>
      <c r="F33" s="95">
        <f>-CategoryTable8121014161816[[#This Row],[Amended Budget]]+CategoryTable8121014161816[[#This Row],[Actual to date]]</f>
        <v>-146.79</v>
      </c>
      <c r="G33" s="95"/>
      <c r="H33" s="286"/>
      <c r="I33" s="383">
        <v>44074</v>
      </c>
      <c r="J33" s="285"/>
      <c r="K33" s="285"/>
      <c r="L33" s="285" t="s">
        <v>91</v>
      </c>
      <c r="M33" s="446">
        <v>-0.11</v>
      </c>
      <c r="N33" s="451"/>
      <c r="O33" s="451">
        <f>IF(ISBLANK(CkReg16_18151715[[#This Row],[Withdrawal]]),O32+CkReg16_18151715[[#This Row],[Deposit]],O32-CkReg16_18151715[[#This Row],[Withdrawal]])</f>
        <v>3938.7</v>
      </c>
      <c r="P33" s="376">
        <v>44074</v>
      </c>
      <c r="Q33" s="457">
        <f>IF(ISBLANK(CkReg16_18151715[[#This Row],[Withdrawal]]),Q32+CkReg16_18151715[[#This Row],[Deposit]],Q32-CkReg16_18151715[[#This Row],[Withdrawal]])</f>
        <v>12653.699999999999</v>
      </c>
      <c r="R33" s="376">
        <v>44074</v>
      </c>
    </row>
    <row r="34" spans="2:18" x14ac:dyDescent="0.3">
      <c r="B34" s="94" t="s">
        <v>47</v>
      </c>
      <c r="C34" s="95">
        <f>-(SUMIF(CkReg16_18151715[Category],"=" &amp;CategoryTable8121014161816[[#This Row],[Category]],CkReg16_18151715[Withdrawal]))</f>
        <v>-14</v>
      </c>
      <c r="D34" s="95">
        <v>-50</v>
      </c>
      <c r="E34" s="95">
        <v>-50</v>
      </c>
      <c r="F34" s="95">
        <f>-CategoryTable8121014161816[[#This Row],[Amended Budget]]+CategoryTable8121014161816[[#This Row],[Actual to date]]</f>
        <v>36</v>
      </c>
      <c r="G34" s="95"/>
      <c r="H34" s="286"/>
      <c r="I34" s="383">
        <v>44104</v>
      </c>
      <c r="J34" s="285"/>
      <c r="K34" s="285"/>
      <c r="L34" s="285" t="s">
        <v>91</v>
      </c>
      <c r="M34" s="446">
        <v>-0.1</v>
      </c>
      <c r="N34" s="451"/>
      <c r="O34" s="451">
        <f>IF(ISBLANK(CkReg16_18151715[[#This Row],[Withdrawal]]),O33+CkReg16_18151715[[#This Row],[Deposit]],O33-CkReg16_18151715[[#This Row],[Withdrawal]])</f>
        <v>3938.7999999999997</v>
      </c>
      <c r="P34" s="376">
        <v>44104</v>
      </c>
      <c r="Q34" s="457">
        <f>IF(ISBLANK(CkReg16_18151715[[#This Row],[Withdrawal]]),Q33+CkReg16_18151715[[#This Row],[Deposit]],Q33-CkReg16_18151715[[#This Row],[Withdrawal]])</f>
        <v>12653.8</v>
      </c>
      <c r="R34" s="376">
        <v>44104</v>
      </c>
    </row>
    <row r="35" spans="2:18" x14ac:dyDescent="0.3">
      <c r="B35" s="94" t="s">
        <v>49</v>
      </c>
      <c r="C35" s="95">
        <f>-(SUMIF(CkReg16_18151715[Category],"=" &amp;CategoryTable8121014161816[[#This Row],[Category]],CkReg16_18151715[Withdrawal]))</f>
        <v>-9.1999999999999993</v>
      </c>
      <c r="D35" s="95">
        <v>-50</v>
      </c>
      <c r="E35" s="95">
        <v>-50</v>
      </c>
      <c r="F35" s="95">
        <f>-CategoryTable8121014161816[[#This Row],[Amended Budget]]+CategoryTable8121014161816[[#This Row],[Actual to date]]</f>
        <v>40.799999999999997</v>
      </c>
      <c r="G35" s="95"/>
      <c r="H35" s="286"/>
      <c r="I35" s="383">
        <v>44109</v>
      </c>
      <c r="J35" s="285"/>
      <c r="K35" s="285" t="s">
        <v>951</v>
      </c>
      <c r="L35" s="285" t="s">
        <v>219</v>
      </c>
      <c r="M35" s="446"/>
      <c r="N35" s="451">
        <v>75</v>
      </c>
      <c r="O35" s="451">
        <f>IF(ISBLANK(CkReg16_18151715[[#This Row],[Withdrawal]]),O34+CkReg16_18151715[[#This Row],[Deposit]],O34-CkReg16_18151715[[#This Row],[Withdrawal]])</f>
        <v>4013.7999999999997</v>
      </c>
      <c r="P35" s="376">
        <v>44109</v>
      </c>
      <c r="Q35" s="457">
        <f>IF(ISBLANK(CkReg16_18151715[[#This Row],[Withdrawal]]),Q34+CkReg16_18151715[[#This Row],[Deposit]],Q34-CkReg16_18151715[[#This Row],[Withdrawal]])</f>
        <v>12728.8</v>
      </c>
      <c r="R35" s="376"/>
    </row>
    <row r="36" spans="2:18" x14ac:dyDescent="0.3">
      <c r="B36" s="94" t="s">
        <v>50</v>
      </c>
      <c r="C36" s="95">
        <f>-(SUMIF(CkReg16_18151715[Category],"=" &amp;CategoryTable8121014161816[[#This Row],[Category]],CkReg16_18151715[Withdrawal]))</f>
        <v>0</v>
      </c>
      <c r="D36" s="95">
        <v>-25</v>
      </c>
      <c r="E36" s="95">
        <v>-25</v>
      </c>
      <c r="F36" s="95">
        <f>-CategoryTable8121014161816[[#This Row],[Amended Budget]]+CategoryTable8121014161816[[#This Row],[Actual to date]]</f>
        <v>25</v>
      </c>
      <c r="G36" s="95"/>
      <c r="H36" s="286"/>
      <c r="I36" s="383">
        <v>44134</v>
      </c>
      <c r="J36" s="285"/>
      <c r="K36" s="285" t="s">
        <v>952</v>
      </c>
      <c r="L36" s="285" t="s">
        <v>219</v>
      </c>
      <c r="M36" s="446"/>
      <c r="N36" s="451">
        <f>-75+72.22</f>
        <v>-2.7800000000000011</v>
      </c>
      <c r="O36" s="451">
        <f>IF(ISBLANK(CkReg16_18151715[[#This Row],[Withdrawal]]),O35+CkReg16_18151715[[#This Row],[Deposit]],O35-CkReg16_18151715[[#This Row],[Withdrawal]])</f>
        <v>4011.0199999999995</v>
      </c>
      <c r="P36" s="376">
        <v>44109</v>
      </c>
      <c r="Q36" s="457">
        <f>IF(ISBLANK(CkReg16_18151715[[#This Row],[Withdrawal]]),Q35+CkReg16_18151715[[#This Row],[Deposit]],Q35-CkReg16_18151715[[#This Row],[Withdrawal]])</f>
        <v>12726.019999999999</v>
      </c>
      <c r="R36" s="376"/>
    </row>
    <row r="37" spans="2:18" x14ac:dyDescent="0.3">
      <c r="B37" s="94" t="s">
        <v>51</v>
      </c>
      <c r="C37" s="95">
        <f>-(SUMIF(CkReg16_18151715[Category],"=" &amp;CategoryTable8121014161816[[#This Row],[Category]],CkReg16_18151715[Withdrawal]))</f>
        <v>0</v>
      </c>
      <c r="D37" s="95">
        <v>-850</v>
      </c>
      <c r="E37" s="95">
        <v>-850</v>
      </c>
      <c r="F37" s="95">
        <f>-CategoryTable8121014161816[[#This Row],[Amended Budget]]+CategoryTable8121014161816[[#This Row],[Actual to date]]</f>
        <v>850</v>
      </c>
      <c r="G37" s="95"/>
      <c r="H37" s="286"/>
      <c r="I37" s="383">
        <v>44134</v>
      </c>
      <c r="J37" s="285"/>
      <c r="K37" s="285"/>
      <c r="L37" s="285" t="s">
        <v>91</v>
      </c>
      <c r="M37" s="446">
        <v>-0.11</v>
      </c>
      <c r="N37" s="451"/>
      <c r="O37" s="451">
        <f>IF(ISBLANK(CkReg16_18151715[[#This Row],[Withdrawal]]),O36+CkReg16_18151715[[#This Row],[Deposit]],O36-CkReg16_18151715[[#This Row],[Withdrawal]])</f>
        <v>4011.1299999999997</v>
      </c>
      <c r="P37" s="376">
        <v>44134</v>
      </c>
      <c r="Q37" s="457">
        <f>IF(ISBLANK(CkReg16_18151715[[#This Row],[Withdrawal]]),Q36+CkReg16_18151715[[#This Row],[Deposit]],Q36-CkReg16_18151715[[#This Row],[Withdrawal]])</f>
        <v>12726.13</v>
      </c>
      <c r="R37" s="376">
        <v>44135</v>
      </c>
    </row>
    <row r="38" spans="2:18" x14ac:dyDescent="0.3">
      <c r="B38" s="94" t="s">
        <v>52</v>
      </c>
      <c r="C38" s="95">
        <f>-(SUMIF(CkReg16_18151715[Category],"=" &amp;CategoryTable8121014161816[[#This Row],[Category]],CkReg16_18151715[Withdrawal]))</f>
        <v>-20</v>
      </c>
      <c r="D38" s="95">
        <v>-100</v>
      </c>
      <c r="E38" s="95">
        <v>-100</v>
      </c>
      <c r="F38" s="95">
        <f>-CategoryTable8121014161816[[#This Row],[Amended Budget]]+CategoryTable8121014161816[[#This Row],[Actual to date]]</f>
        <v>80</v>
      </c>
      <c r="G38" s="95"/>
      <c r="H38" s="286"/>
      <c r="I38" s="383">
        <v>44165</v>
      </c>
      <c r="J38" s="285"/>
      <c r="K38" s="285"/>
      <c r="L38" s="285" t="s">
        <v>91</v>
      </c>
      <c r="M38" s="446">
        <v>-0.1</v>
      </c>
      <c r="N38" s="451"/>
      <c r="O38" s="451">
        <f>IF(ISBLANK(CkReg16_18151715[[#This Row],[Withdrawal]]),O37+CkReg16_18151715[[#This Row],[Deposit]],O37-CkReg16_18151715[[#This Row],[Withdrawal]])</f>
        <v>4011.2299999999996</v>
      </c>
      <c r="P38" s="376">
        <v>44165</v>
      </c>
      <c r="Q38" s="457">
        <f>IF(ISBLANK(CkReg16_18151715[[#This Row],[Withdrawal]]),Q37+CkReg16_18151715[[#This Row],[Deposit]],Q37-CkReg16_18151715[[#This Row],[Withdrawal]])</f>
        <v>12726.23</v>
      </c>
      <c r="R38" s="376">
        <v>44165</v>
      </c>
    </row>
    <row r="39" spans="2:18" x14ac:dyDescent="0.3">
      <c r="B39" s="94" t="s">
        <v>53</v>
      </c>
      <c r="C39" s="95">
        <f>-(SUMIF(CkReg16_18151715[Category],"=" &amp;CategoryTable8121014161816[[#This Row],[Category]],CkReg16_18151715[Withdrawal]))</f>
        <v>0</v>
      </c>
      <c r="D39" s="95">
        <v>-100</v>
      </c>
      <c r="E39" s="95">
        <v>-100</v>
      </c>
      <c r="F39" s="95">
        <f>-CategoryTable8121014161816[[#This Row],[Amended Budget]]+CategoryTable8121014161816[[#This Row],[Actual to date]]</f>
        <v>100</v>
      </c>
      <c r="G39" s="95"/>
      <c r="H39" s="286"/>
      <c r="I39" s="383">
        <v>44172</v>
      </c>
      <c r="J39" s="285"/>
      <c r="K39" s="285" t="s">
        <v>984</v>
      </c>
      <c r="L39" s="285" t="s">
        <v>219</v>
      </c>
      <c r="M39" s="446"/>
      <c r="N39" s="451">
        <v>25</v>
      </c>
      <c r="O39" s="451">
        <f>IF(ISBLANK(CkReg16_18151715[[#This Row],[Withdrawal]]),O38+CkReg16_18151715[[#This Row],[Deposit]],O38-CkReg16_18151715[[#This Row],[Withdrawal]])</f>
        <v>4036.2299999999996</v>
      </c>
      <c r="P39" s="376">
        <v>44174</v>
      </c>
      <c r="Q39" s="457">
        <f>IF(ISBLANK(CkReg16_18151715[[#This Row],[Withdrawal]]),Q38+CkReg16_18151715[[#This Row],[Deposit]],Q38-CkReg16_18151715[[#This Row],[Withdrawal]])</f>
        <v>12751.23</v>
      </c>
      <c r="R39" s="376"/>
    </row>
    <row r="40" spans="2:18" x14ac:dyDescent="0.3">
      <c r="B40" s="94" t="s">
        <v>54</v>
      </c>
      <c r="C40" s="95">
        <f>-(SUMIF(CkReg16_18151715[Category],"=" &amp;CategoryTable8121014161816[[#This Row],[Category]],CkReg16_18151715[Withdrawal]))</f>
        <v>0</v>
      </c>
      <c r="D40" s="95">
        <v>0</v>
      </c>
      <c r="E40" s="95">
        <v>0</v>
      </c>
      <c r="F40" s="95">
        <f>-CategoryTable8121014161816[[#This Row],[Amended Budget]]+CategoryTable8121014161816[[#This Row],[Actual to date]]</f>
        <v>0</v>
      </c>
      <c r="G40" s="95"/>
      <c r="H40" s="286"/>
      <c r="I40" s="383">
        <v>44172</v>
      </c>
      <c r="J40" s="285"/>
      <c r="K40" s="285" t="s">
        <v>985</v>
      </c>
      <c r="L40" s="285" t="s">
        <v>219</v>
      </c>
      <c r="M40" s="446"/>
      <c r="N40" s="451">
        <v>-1.03</v>
      </c>
      <c r="O40" s="451">
        <f>IF(ISBLANK(CkReg16_18151715[[#This Row],[Withdrawal]]),O39+CkReg16_18151715[[#This Row],[Deposit]],O39-CkReg16_18151715[[#This Row],[Withdrawal]])</f>
        <v>4035.1999999999994</v>
      </c>
      <c r="P40" s="376">
        <v>44174</v>
      </c>
      <c r="Q40" s="457">
        <f>IF(ISBLANK(CkReg16_18151715[[#This Row],[Withdrawal]]),Q39+CkReg16_18151715[[#This Row],[Deposit]],Q39-CkReg16_18151715[[#This Row],[Withdrawal]])</f>
        <v>12750.199999999999</v>
      </c>
      <c r="R40" s="376"/>
    </row>
    <row r="41" spans="2:18" x14ac:dyDescent="0.3">
      <c r="B41" s="94" t="s">
        <v>36</v>
      </c>
      <c r="C41" s="95">
        <f>-(SUMIF(CkReg16_18151715[Category],"=" &amp;CategoryTable8121014161816[[#This Row],[Category]],CkReg16_18151715[Withdrawal]))</f>
        <v>0</v>
      </c>
      <c r="D41" s="95">
        <v>-300</v>
      </c>
      <c r="E41" s="95">
        <v>-300</v>
      </c>
      <c r="F41" s="95">
        <f>-CategoryTable8121014161816[[#This Row],[Amended Budget]]+CategoryTable8121014161816[[#This Row],[Actual to date]]</f>
        <v>300</v>
      </c>
      <c r="G41" s="95"/>
      <c r="H41" s="286"/>
      <c r="I41" s="383">
        <v>44178</v>
      </c>
      <c r="J41" s="285"/>
      <c r="K41" s="285" t="s">
        <v>986</v>
      </c>
      <c r="L41" s="285" t="s">
        <v>976</v>
      </c>
      <c r="M41" s="446"/>
      <c r="N41" s="451">
        <v>5</v>
      </c>
      <c r="O41" s="451">
        <f>IF(ISBLANK(CkReg16_18151715[[#This Row],[Withdrawal]]),O40+CkReg16_18151715[[#This Row],[Deposit]],O40-CkReg16_18151715[[#This Row],[Withdrawal]])</f>
        <v>4040.1999999999994</v>
      </c>
      <c r="P41" s="376">
        <v>44179</v>
      </c>
      <c r="Q41" s="457">
        <f>IF(ISBLANK(CkReg16_18151715[[#This Row],[Withdrawal]]),Q40+CkReg16_18151715[[#This Row],[Deposit]],Q40-CkReg16_18151715[[#This Row],[Withdrawal]])</f>
        <v>12755.199999999999</v>
      </c>
      <c r="R41" s="376"/>
    </row>
    <row r="42" spans="2:18" x14ac:dyDescent="0.3">
      <c r="B42" s="94" t="s">
        <v>573</v>
      </c>
      <c r="C42" s="95">
        <f>-(SUMIF(CkReg16_18151715[Category],"=" &amp;CategoryTable8121014161816[[#This Row],[Category]],CkReg16_18151715[Withdrawal]))</f>
        <v>0</v>
      </c>
      <c r="D42" s="95">
        <v>-50</v>
      </c>
      <c r="E42" s="95">
        <v>-50</v>
      </c>
      <c r="F42" s="95">
        <f>-CategoryTable8121014161816[[#This Row],[Amended Budget]]+CategoryTable8121014161816[[#This Row],[Actual to date]]</f>
        <v>50</v>
      </c>
      <c r="G42" s="95"/>
      <c r="H42" s="286"/>
      <c r="I42" s="383">
        <v>44178</v>
      </c>
      <c r="J42" s="285"/>
      <c r="K42" s="285" t="s">
        <v>987</v>
      </c>
      <c r="L42" s="285" t="s">
        <v>976</v>
      </c>
      <c r="M42" s="446"/>
      <c r="N42" s="451">
        <v>-0.45</v>
      </c>
      <c r="O42" s="451">
        <f>IF(ISBLANK(CkReg16_18151715[[#This Row],[Withdrawal]]),O41+CkReg16_18151715[[#This Row],[Deposit]],O41-CkReg16_18151715[[#This Row],[Withdrawal]])</f>
        <v>4039.7499999999995</v>
      </c>
      <c r="P42" s="376">
        <v>44179</v>
      </c>
      <c r="Q42" s="457">
        <f>IF(ISBLANK(CkReg16_18151715[[#This Row],[Withdrawal]]),Q41+CkReg16_18151715[[#This Row],[Deposit]],Q41-CkReg16_18151715[[#This Row],[Withdrawal]])</f>
        <v>12754.749999999998</v>
      </c>
      <c r="R42" s="376"/>
    </row>
    <row r="43" spans="2:18" x14ac:dyDescent="0.3">
      <c r="B43" s="94" t="s">
        <v>574</v>
      </c>
      <c r="C43" s="95">
        <f>-(SUMIF(CkReg16_18151715[Category],"=" &amp;CategoryTable8121014161816[[#This Row],[Category]],CkReg16_18151715[Withdrawal]))</f>
        <v>0</v>
      </c>
      <c r="D43" s="95">
        <v>-50</v>
      </c>
      <c r="E43" s="95">
        <v>-50</v>
      </c>
      <c r="F43" s="95">
        <f>-CategoryTable8121014161816[[#This Row],[Amended Budget]]+CategoryTable8121014161816[[#This Row],[Actual to date]]</f>
        <v>50</v>
      </c>
      <c r="G43" s="95"/>
      <c r="H43" s="286"/>
      <c r="I43" s="383">
        <v>44185</v>
      </c>
      <c r="J43" s="285"/>
      <c r="K43" s="285" t="s">
        <v>986</v>
      </c>
      <c r="L43" s="285" t="s">
        <v>976</v>
      </c>
      <c r="M43" s="446"/>
      <c r="N43" s="451">
        <v>40</v>
      </c>
      <c r="O43" s="451">
        <f>IF(ISBLANK(CkReg16_18151715[[#This Row],[Withdrawal]]),O42+CkReg16_18151715[[#This Row],[Deposit]],O42-CkReg16_18151715[[#This Row],[Withdrawal]])</f>
        <v>4079.7499999999995</v>
      </c>
      <c r="P43" s="376">
        <v>44186</v>
      </c>
      <c r="Q43" s="457">
        <f>IF(ISBLANK(CkReg16_18151715[[#This Row],[Withdrawal]]),Q42+CkReg16_18151715[[#This Row],[Deposit]],Q42-CkReg16_18151715[[#This Row],[Withdrawal]])</f>
        <v>12794.749999999998</v>
      </c>
      <c r="R43" s="376"/>
    </row>
    <row r="44" spans="2:18" x14ac:dyDescent="0.3">
      <c r="B44" s="94" t="s">
        <v>389</v>
      </c>
      <c r="C44" s="95">
        <f>-(SUMIF(CkReg16_18151715[Category],"=" &amp;CategoryTable8121014161816[[#This Row],[Category]],CkReg16_18151715[Withdrawal]))</f>
        <v>0</v>
      </c>
      <c r="D44" s="95">
        <v>-250</v>
      </c>
      <c r="E44" s="95">
        <v>-250</v>
      </c>
      <c r="F44" s="95">
        <f>-CategoryTable8121014161816[[#This Row],[Amended Budget]]+CategoryTable8121014161816[[#This Row],[Actual to date]]</f>
        <v>250</v>
      </c>
      <c r="G44" s="95"/>
      <c r="H44" s="286"/>
      <c r="I44" s="383">
        <v>44185</v>
      </c>
      <c r="J44" s="285"/>
      <c r="K44" s="285" t="s">
        <v>987</v>
      </c>
      <c r="L44" s="285" t="s">
        <v>976</v>
      </c>
      <c r="M44" s="446"/>
      <c r="N44" s="451">
        <v>-2.68</v>
      </c>
      <c r="O44" s="451">
        <f>IF(ISBLANK(CkReg16_18151715[[#This Row],[Withdrawal]]),O43+CkReg16_18151715[[#This Row],[Deposit]],O43-CkReg16_18151715[[#This Row],[Withdrawal]])</f>
        <v>4077.0699999999997</v>
      </c>
      <c r="P44" s="376">
        <v>44186</v>
      </c>
      <c r="Q44" s="457">
        <f>IF(ISBLANK(CkReg16_18151715[[#This Row],[Withdrawal]]),Q43+CkReg16_18151715[[#This Row],[Deposit]],Q43-CkReg16_18151715[[#This Row],[Withdrawal]])</f>
        <v>12792.069999999998</v>
      </c>
      <c r="R44" s="376"/>
    </row>
    <row r="45" spans="2:18" x14ac:dyDescent="0.3">
      <c r="B45" s="94" t="s">
        <v>390</v>
      </c>
      <c r="C45" s="95">
        <f>-(SUMIF(CkReg16_18151715[Category],"=" &amp;CategoryTable8121014161816[[#This Row],[Category]],CkReg16_18151715[Withdrawal]))</f>
        <v>0</v>
      </c>
      <c r="D45" s="95">
        <v>-100</v>
      </c>
      <c r="E45" s="95">
        <v>-100</v>
      </c>
      <c r="F45" s="95">
        <f>-CategoryTable8121014161816[[#This Row],[Amended Budget]]+CategoryTable8121014161816[[#This Row],[Actual to date]]</f>
        <v>100</v>
      </c>
      <c r="G45" s="95"/>
      <c r="H45" s="286"/>
      <c r="I45" s="383">
        <v>44190</v>
      </c>
      <c r="J45" s="285"/>
      <c r="K45" s="285" t="s">
        <v>988</v>
      </c>
      <c r="L45" s="285" t="s">
        <v>219</v>
      </c>
      <c r="M45" s="446"/>
      <c r="N45" s="451">
        <v>179</v>
      </c>
      <c r="O45" s="451">
        <f>IF(ISBLANK(CkReg16_18151715[[#This Row],[Withdrawal]]),O44+CkReg16_18151715[[#This Row],[Deposit]],O44-CkReg16_18151715[[#This Row],[Withdrawal]])</f>
        <v>4256.07</v>
      </c>
      <c r="P45" s="376">
        <v>44193</v>
      </c>
      <c r="Q45" s="457">
        <f>IF(ISBLANK(CkReg16_18151715[[#This Row],[Withdrawal]]),Q44+CkReg16_18151715[[#This Row],[Deposit]],Q44-CkReg16_18151715[[#This Row],[Withdrawal]])</f>
        <v>12971.069999999998</v>
      </c>
      <c r="R45" s="376"/>
    </row>
    <row r="46" spans="2:18" x14ac:dyDescent="0.3">
      <c r="B46" s="94" t="s">
        <v>703</v>
      </c>
      <c r="C46" s="95">
        <f>-(SUMIF(CkReg16_18151715[Category],"=" &amp;CategoryTable8121014161816[[#This Row],[Category]],CkReg16_18151715[Withdrawal]))</f>
        <v>-1715</v>
      </c>
      <c r="D46" s="95">
        <v>-1715</v>
      </c>
      <c r="E46" s="95">
        <v>-1715</v>
      </c>
      <c r="F46" s="95">
        <f>-CategoryTable8121014161816[[#This Row],[Amended Budget]]+CategoryTable8121014161816[[#This Row],[Actual to date]]</f>
        <v>0</v>
      </c>
      <c r="G46" s="95"/>
      <c r="H46" s="286"/>
      <c r="I46" s="383">
        <v>44190</v>
      </c>
      <c r="J46" s="285"/>
      <c r="K46" s="285" t="s">
        <v>358</v>
      </c>
      <c r="L46" s="285" t="s">
        <v>219</v>
      </c>
      <c r="M46" s="446"/>
      <c r="N46" s="451">
        <v>-5.49</v>
      </c>
      <c r="O46" s="451">
        <f>IF(ISBLANK(CkReg16_18151715[[#This Row],[Withdrawal]]),O45+CkReg16_18151715[[#This Row],[Deposit]],O45-CkReg16_18151715[[#This Row],[Withdrawal]])</f>
        <v>4250.58</v>
      </c>
      <c r="P46" s="376">
        <v>44193</v>
      </c>
      <c r="Q46" s="457">
        <f>IF(ISBLANK(CkReg16_18151715[[#This Row],[Withdrawal]]),Q45+CkReg16_18151715[[#This Row],[Deposit]],Q45-CkReg16_18151715[[#This Row],[Withdrawal]])</f>
        <v>12965.579999999998</v>
      </c>
      <c r="R46" s="376"/>
    </row>
    <row r="47" spans="2:18" x14ac:dyDescent="0.3">
      <c r="B47" s="94" t="s">
        <v>704</v>
      </c>
      <c r="C47" s="95">
        <f>-(SUMIF(CkReg16_18151715[Category],"=" &amp;CategoryTable8121014161816[[#This Row],[Category]],CkReg16_18151715[Withdrawal]))</f>
        <v>0</v>
      </c>
      <c r="D47" s="95">
        <v>0</v>
      </c>
      <c r="E47" s="95">
        <v>0</v>
      </c>
      <c r="F47" s="95">
        <f>-CategoryTable8121014161816[[#This Row],[Amended Budget]]+CategoryTable8121014161816[[#This Row],[Actual to date]]</f>
        <v>0</v>
      </c>
      <c r="G47" s="95"/>
      <c r="H47" s="286"/>
      <c r="I47" s="383">
        <v>44192</v>
      </c>
      <c r="J47" s="285"/>
      <c r="K47" s="285" t="s">
        <v>986</v>
      </c>
      <c r="L47" s="285" t="s">
        <v>976</v>
      </c>
      <c r="M47" s="446"/>
      <c r="N47" s="451">
        <v>10</v>
      </c>
      <c r="O47" s="451">
        <f>IF(ISBLANK(CkReg16_18151715[[#This Row],[Withdrawal]]),O46+CkReg16_18151715[[#This Row],[Deposit]],O46-CkReg16_18151715[[#This Row],[Withdrawal]])</f>
        <v>4260.58</v>
      </c>
      <c r="P47" s="376">
        <v>44193</v>
      </c>
      <c r="Q47" s="457">
        <f>IF(ISBLANK(CkReg16_18151715[[#This Row],[Withdrawal]]),Q46+CkReg16_18151715[[#This Row],[Deposit]],Q46-CkReg16_18151715[[#This Row],[Withdrawal]])</f>
        <v>12975.579999999998</v>
      </c>
      <c r="R47" s="376"/>
    </row>
    <row r="48" spans="2:18" x14ac:dyDescent="0.3">
      <c r="B48" s="94" t="s">
        <v>55</v>
      </c>
      <c r="C48" s="95">
        <f>-(SUMIF(CkReg16_18151715[Category],"=" &amp;CategoryTable8121014161816[[#This Row],[Category]],CkReg16_18151715[Withdrawal]))</f>
        <v>-3000</v>
      </c>
      <c r="D48" s="95">
        <v>-3000</v>
      </c>
      <c r="E48" s="95">
        <v>-3000</v>
      </c>
      <c r="F48" s="95">
        <f>-CategoryTable8121014161816[[#This Row],[Amended Budget]]+CategoryTable8121014161816[[#This Row],[Actual to date]]</f>
        <v>0</v>
      </c>
      <c r="G48" s="95"/>
      <c r="H48" s="286"/>
      <c r="I48" s="383">
        <v>44192</v>
      </c>
      <c r="J48" s="285"/>
      <c r="K48" s="285" t="s">
        <v>987</v>
      </c>
      <c r="L48" s="285" t="s">
        <v>976</v>
      </c>
      <c r="M48" s="446"/>
      <c r="N48" s="451">
        <v>-0.9</v>
      </c>
      <c r="O48" s="451">
        <f>IF(ISBLANK(CkReg16_18151715[[#This Row],[Withdrawal]]),O47+CkReg16_18151715[[#This Row],[Deposit]],O47-CkReg16_18151715[[#This Row],[Withdrawal]])</f>
        <v>4259.68</v>
      </c>
      <c r="P48" s="376">
        <v>44193</v>
      </c>
      <c r="Q48" s="457">
        <f>IF(ISBLANK(CkReg16_18151715[[#This Row],[Withdrawal]]),Q47+CkReg16_18151715[[#This Row],[Deposit]],Q47-CkReg16_18151715[[#This Row],[Withdrawal]])</f>
        <v>12974.679999999998</v>
      </c>
      <c r="R48" s="376"/>
    </row>
    <row r="49" spans="2:18" x14ac:dyDescent="0.3">
      <c r="B49" s="94" t="s">
        <v>56</v>
      </c>
      <c r="C49" s="95">
        <f>-(SUMIF(CkReg16_18151715[Category],"=" &amp;CategoryTable8121014161816[[#This Row],[Category]],CkReg16_18151715[Withdrawal]))</f>
        <v>-4000</v>
      </c>
      <c r="D49" s="95">
        <v>-4000</v>
      </c>
      <c r="E49" s="95">
        <v>-4000</v>
      </c>
      <c r="F49" s="95">
        <f>-CategoryTable8121014161816[[#This Row],[Amended Budget]]+CategoryTable8121014161816[[#This Row],[Actual to date]]</f>
        <v>0</v>
      </c>
      <c r="G49" s="95"/>
      <c r="H49" s="286"/>
      <c r="I49" s="383">
        <v>44196</v>
      </c>
      <c r="J49" s="285"/>
      <c r="K49" s="285" t="s">
        <v>989</v>
      </c>
      <c r="L49" s="285" t="s">
        <v>946</v>
      </c>
      <c r="M49" s="446">
        <v>146.79</v>
      </c>
      <c r="N49" s="451"/>
      <c r="O49" s="451">
        <f>IF(ISBLANK(CkReg16_18151715[[#This Row],[Withdrawal]]),O48+CkReg16_18151715[[#This Row],[Deposit]],O48-CkReg16_18151715[[#This Row],[Withdrawal]])</f>
        <v>4112.8900000000003</v>
      </c>
      <c r="P49" s="376">
        <v>44196</v>
      </c>
      <c r="Q49" s="457">
        <f>IF(ISBLANK(CkReg16_18151715[[#This Row],[Withdrawal]]),Q48+CkReg16_18151715[[#This Row],[Deposit]],Q48-CkReg16_18151715[[#This Row],[Withdrawal]])</f>
        <v>12827.889999999998</v>
      </c>
      <c r="R49" s="376"/>
    </row>
    <row r="50" spans="2:18" x14ac:dyDescent="0.3">
      <c r="B50" s="94" t="s">
        <v>590</v>
      </c>
      <c r="C50" s="95">
        <f>SUMIF(CkReg16_18151715[Category],"=" &amp;CategoryTable8121014161816[[#This Row],[Category]],CkReg16_18151715[Deposit])</f>
        <v>0</v>
      </c>
      <c r="D50" s="95">
        <v>0</v>
      </c>
      <c r="E50" s="95">
        <v>0</v>
      </c>
      <c r="F50" s="95">
        <f>-CategoryTable8121014161816[[#This Row],[Amended Budget]]+CategoryTable8121014161816[[#This Row],[Actual to date]]</f>
        <v>0</v>
      </c>
      <c r="G50" s="95"/>
      <c r="H50" s="286"/>
      <c r="I50" s="383">
        <v>44196</v>
      </c>
      <c r="J50" s="285"/>
      <c r="K50" s="285" t="s">
        <v>984</v>
      </c>
      <c r="L50" s="285" t="s">
        <v>219</v>
      </c>
      <c r="M50" s="446"/>
      <c r="N50" s="451">
        <v>146.79</v>
      </c>
      <c r="O50" s="451">
        <f>IF(ISBLANK(CkReg16_18151715[[#This Row],[Withdrawal]]),O49+CkReg16_18151715[[#This Row],[Deposit]],O49-CkReg16_18151715[[#This Row],[Withdrawal]])</f>
        <v>4259.68</v>
      </c>
      <c r="P50" s="376">
        <v>44196</v>
      </c>
      <c r="Q50" s="457">
        <f>IF(ISBLANK(CkReg16_18151715[[#This Row],[Withdrawal]]),Q49+CkReg16_18151715[[#This Row],[Deposit]],Q49-CkReg16_18151715[[#This Row],[Withdrawal]])</f>
        <v>12974.679999999998</v>
      </c>
      <c r="R50" s="376"/>
    </row>
    <row r="51" spans="2:18" x14ac:dyDescent="0.3">
      <c r="B51" s="94" t="s">
        <v>58</v>
      </c>
      <c r="C51" s="95">
        <f>-(SUMIF(CkReg16_18151715[Category],"=" &amp;CategoryTable8121014161816[[#This Row],[Category]],CkReg16_18151715[Withdrawal]))</f>
        <v>-460.98</v>
      </c>
      <c r="D51" s="95">
        <v>-450</v>
      </c>
      <c r="E51" s="95">
        <v>-460.98</v>
      </c>
      <c r="F51" s="95">
        <f>-CategoryTable8121014161816[[#This Row],[Amended Budget]]+CategoryTable8121014161816[[#This Row],[Actual to date]]</f>
        <v>0</v>
      </c>
      <c r="G51" s="95"/>
      <c r="H51" s="286"/>
      <c r="I51" s="383"/>
      <c r="J51" s="285"/>
      <c r="K51" s="285"/>
      <c r="L51" s="285" t="s">
        <v>91</v>
      </c>
      <c r="M51" s="446">
        <v>-0.11</v>
      </c>
      <c r="N51" s="451"/>
      <c r="O51" s="451">
        <f>IF(ISBLANK(CkReg16_18151715[[#This Row],[Withdrawal]]),O50+CkReg16_18151715[[#This Row],[Deposit]],O50-CkReg16_18151715[[#This Row],[Withdrawal]])</f>
        <v>4259.79</v>
      </c>
      <c r="P51" s="376">
        <v>44196</v>
      </c>
      <c r="Q51" s="457">
        <f>IF(ISBLANK(CkReg16_18151715[[#This Row],[Withdrawal]]),Q50+CkReg16_18151715[[#This Row],[Deposit]],Q50-CkReg16_18151715[[#This Row],[Withdrawal]])</f>
        <v>12974.789999999999</v>
      </c>
      <c r="R51" s="376">
        <v>44196</v>
      </c>
    </row>
    <row r="52" spans="2:18" x14ac:dyDescent="0.3">
      <c r="B52" s="94" t="s">
        <v>59</v>
      </c>
      <c r="C52" s="95">
        <f>-(SUMIF(CkReg16_18151715[Category],"=" &amp;CategoryTable8121014161816[[#This Row],[Category]],CkReg16_18151715[Withdrawal]))</f>
        <v>-300</v>
      </c>
      <c r="D52" s="95">
        <v>-300</v>
      </c>
      <c r="E52" s="95">
        <v>-300</v>
      </c>
      <c r="F52" s="95">
        <f>-CategoryTable8121014161816[[#This Row],[Amended Budget]]+CategoryTable8121014161816[[#This Row],[Actual to date]]</f>
        <v>0</v>
      </c>
      <c r="G52" s="95"/>
      <c r="H52" s="286"/>
      <c r="I52" s="383">
        <v>44196</v>
      </c>
      <c r="J52" s="285" t="s">
        <v>84</v>
      </c>
      <c r="K52" s="285" t="s">
        <v>937</v>
      </c>
      <c r="L52" s="285" t="s">
        <v>51</v>
      </c>
      <c r="M52" s="446">
        <v>-290</v>
      </c>
      <c r="N52" s="451"/>
      <c r="O52" s="451">
        <f>IF(ISBLANK(CkReg16_18151715[[#This Row],[Withdrawal]]),O51+CkReg16_18151715[[#This Row],[Deposit]],O51-CkReg16_18151715[[#This Row],[Withdrawal]])</f>
        <v>4549.79</v>
      </c>
      <c r="P52" s="376" t="s">
        <v>256</v>
      </c>
      <c r="Q52" s="457">
        <f>IF(ISBLANK(CkReg16_18151715[[#This Row],[Withdrawal]]),Q51+CkReg16_18151715[[#This Row],[Deposit]],Q51-CkReg16_18151715[[#This Row],[Withdrawal]])</f>
        <v>13264.789999999999</v>
      </c>
      <c r="R52" s="376"/>
    </row>
    <row r="53" spans="2:18" x14ac:dyDescent="0.3">
      <c r="B53" s="94" t="s">
        <v>60</v>
      </c>
      <c r="C53" s="95">
        <f>SUMIF(CkReg16_18151715[Category],"=" &amp;CategoryTable8121014161816[[#This Row],[Category]],CkReg16_18151715[Deposit])</f>
        <v>0</v>
      </c>
      <c r="D53" s="95">
        <v>5500</v>
      </c>
      <c r="E53" s="95">
        <v>5500</v>
      </c>
      <c r="F53" s="95">
        <f>-CategoryTable8121014161816[[#This Row],[Amended Budget]]+CategoryTable8121014161816[[#This Row],[Actual to date]]</f>
        <v>-5500</v>
      </c>
      <c r="G53" s="95"/>
      <c r="H53" s="286"/>
      <c r="I53" s="383">
        <v>44196</v>
      </c>
      <c r="J53" s="285" t="s">
        <v>898</v>
      </c>
      <c r="K53" s="285" t="s">
        <v>924</v>
      </c>
      <c r="L53" s="285" t="s">
        <v>34</v>
      </c>
      <c r="M53" s="446">
        <v>-100</v>
      </c>
      <c r="N53" s="451"/>
      <c r="O53" s="451">
        <f>IF(ISBLANK(CkReg16_18151715[[#This Row],[Withdrawal]]),O52+CkReg16_18151715[[#This Row],[Deposit]],O52-CkReg16_18151715[[#This Row],[Withdrawal]])</f>
        <v>4649.79</v>
      </c>
      <c r="P53" s="376" t="s">
        <v>256</v>
      </c>
      <c r="Q53" s="457">
        <f>IF(ISBLANK(CkReg16_18151715[[#This Row],[Withdrawal]]),Q52+CkReg16_18151715[[#This Row],[Deposit]],Q52-CkReg16_18151715[[#This Row],[Withdrawal]])</f>
        <v>13364.789999999999</v>
      </c>
      <c r="R53" s="376"/>
    </row>
    <row r="54" spans="2:18" x14ac:dyDescent="0.3">
      <c r="B54" s="94" t="s">
        <v>61</v>
      </c>
      <c r="C54" s="95">
        <f>SUMIF(CkReg16_18151715[Category],"=" &amp;CategoryTable8121014161816[[#This Row],[Category]],CkReg16_18151715[Deposit])</f>
        <v>0</v>
      </c>
      <c r="D54" s="95">
        <v>14500</v>
      </c>
      <c r="E54" s="95">
        <v>14500</v>
      </c>
      <c r="F54" s="95">
        <f>-CategoryTable8121014161816[[#This Row],[Amended Budget]]+CategoryTable8121014161816[[#This Row],[Actual to date]]</f>
        <v>-14500</v>
      </c>
      <c r="G54" s="95"/>
      <c r="H54" s="286"/>
      <c r="I54" s="383"/>
      <c r="J54" s="285"/>
      <c r="K54" s="285"/>
      <c r="L54" s="285"/>
      <c r="M54" s="446"/>
      <c r="N54" s="451"/>
      <c r="O54" s="451">
        <f>IF(ISBLANK(CkReg16_18151715[[#This Row],[Withdrawal]]),O53+CkReg16_18151715[[#This Row],[Deposit]],O53-CkReg16_18151715[[#This Row],[Withdrawal]])</f>
        <v>4649.79</v>
      </c>
      <c r="P54" s="376"/>
      <c r="Q54" s="457">
        <f>IF(ISBLANK(CkReg16_18151715[[#This Row],[Withdrawal]]),Q53+CkReg16_18151715[[#This Row],[Deposit]],Q53-CkReg16_18151715[[#This Row],[Withdrawal]])</f>
        <v>13364.789999999999</v>
      </c>
      <c r="R54" s="376"/>
    </row>
    <row r="55" spans="2:18" x14ac:dyDescent="0.3">
      <c r="B55" s="94" t="s">
        <v>62</v>
      </c>
      <c r="C55" s="95">
        <f>-(SUMIF(CkReg16_18151715[Category],"=" &amp;CategoryTable8121014161816[[#This Row],[Category]],CkReg16_18151715[Withdrawal]))</f>
        <v>0</v>
      </c>
      <c r="D55" s="95">
        <v>-100</v>
      </c>
      <c r="E55" s="95">
        <v>-100</v>
      </c>
      <c r="F55" s="95">
        <f>-CategoryTable8121014161816[[#This Row],[Amended Budget]]+CategoryTable8121014161816[[#This Row],[Actual to date]]</f>
        <v>100</v>
      </c>
      <c r="G55" s="95"/>
      <c r="H55" s="286"/>
      <c r="I55" s="383"/>
      <c r="J55" s="285"/>
      <c r="K55" s="285"/>
      <c r="L55" s="285"/>
      <c r="M55" s="446"/>
      <c r="N55" s="451"/>
      <c r="O55" s="451">
        <f>IF(ISBLANK(CkReg16_18151715[[#This Row],[Withdrawal]]),O54+CkReg16_18151715[[#This Row],[Deposit]],O54-CkReg16_18151715[[#This Row],[Withdrawal]])</f>
        <v>4649.79</v>
      </c>
      <c r="P55" s="376"/>
      <c r="Q55" s="457">
        <f>IF(ISBLANK(CkReg16_18151715[[#This Row],[Withdrawal]]),Q54+CkReg16_18151715[[#This Row],[Deposit]],Q54-CkReg16_18151715[[#This Row],[Withdrawal]])</f>
        <v>13364.789999999999</v>
      </c>
      <c r="R55" s="376"/>
    </row>
    <row r="56" spans="2:18" x14ac:dyDescent="0.3">
      <c r="B56" s="94" t="s">
        <v>63</v>
      </c>
      <c r="C56" s="95">
        <f>-(SUMIF(CkReg16_18151715[Category],"=" &amp;CategoryTable8121014161816[[#This Row],[Category]],CkReg16_18151715[Withdrawal]))</f>
        <v>0</v>
      </c>
      <c r="D56" s="95">
        <v>-100</v>
      </c>
      <c r="E56" s="95">
        <v>-100</v>
      </c>
      <c r="F56" s="95">
        <f>-CategoryTable8121014161816[[#This Row],[Amended Budget]]+CategoryTable8121014161816[[#This Row],[Actual to date]]</f>
        <v>100</v>
      </c>
      <c r="G56" s="95"/>
      <c r="H56" s="286"/>
      <c r="I56" s="383"/>
      <c r="J56" s="285"/>
      <c r="K56" s="285"/>
      <c r="L56" s="285"/>
      <c r="M56" s="446"/>
      <c r="N56" s="451"/>
      <c r="O56" s="451">
        <f>IF(ISBLANK(CkReg16_18151715[[#This Row],[Withdrawal]]),O55+CkReg16_18151715[[#This Row],[Deposit]],O55-CkReg16_18151715[[#This Row],[Withdrawal]])</f>
        <v>4649.79</v>
      </c>
      <c r="P56" s="376"/>
      <c r="Q56" s="457">
        <f>IF(ISBLANK(CkReg16_18151715[[#This Row],[Withdrawal]]),Q55+CkReg16_18151715[[#This Row],[Deposit]],Q55-CkReg16_18151715[[#This Row],[Withdrawal]])</f>
        <v>13364.789999999999</v>
      </c>
      <c r="R56" s="376"/>
    </row>
    <row r="57" spans="2:18" x14ac:dyDescent="0.3">
      <c r="B57" s="94" t="s">
        <v>64</v>
      </c>
      <c r="C57" s="95">
        <f>-(SUMIF(CkReg16_18151715[Category],"=" &amp;CategoryTable8121014161816[[#This Row],[Category]],CkReg16_18151715[Withdrawal]))</f>
        <v>0</v>
      </c>
      <c r="D57" s="95">
        <v>-50</v>
      </c>
      <c r="E57" s="95">
        <v>-50</v>
      </c>
      <c r="F57" s="95">
        <f>-CategoryTable8121014161816[[#This Row],[Amended Budget]]+CategoryTable8121014161816[[#This Row],[Actual to date]]</f>
        <v>50</v>
      </c>
      <c r="G57" s="95"/>
      <c r="H57" s="286"/>
      <c r="I57" s="383"/>
      <c r="J57" s="285"/>
      <c r="K57" s="285"/>
      <c r="L57" s="285"/>
      <c r="M57" s="446"/>
      <c r="N57" s="451"/>
      <c r="O57" s="451">
        <f>IF(ISBLANK(CkReg16_18151715[[#This Row],[Withdrawal]]),O56+CkReg16_18151715[[#This Row],[Deposit]],O56-CkReg16_18151715[[#This Row],[Withdrawal]])</f>
        <v>4649.79</v>
      </c>
      <c r="P57" s="376"/>
      <c r="Q57" s="457">
        <f>IF(ISBLANK(CkReg16_18151715[[#This Row],[Withdrawal]]),Q56+CkReg16_18151715[[#This Row],[Deposit]],Q56-CkReg16_18151715[[#This Row],[Withdrawal]])</f>
        <v>13364.789999999999</v>
      </c>
      <c r="R57" s="376"/>
    </row>
    <row r="58" spans="2:18" x14ac:dyDescent="0.3">
      <c r="B58" s="94" t="s">
        <v>65</v>
      </c>
      <c r="C58" s="95">
        <f>-(SUMIF(CkReg16_18151715[Category],"=" &amp;CategoryTable8121014161816[[#This Row],[Category]],CkReg16_18151715[Withdrawal]))</f>
        <v>0</v>
      </c>
      <c r="D58" s="95">
        <v>-50</v>
      </c>
      <c r="E58" s="95">
        <v>-50</v>
      </c>
      <c r="F58" s="95">
        <f>-CategoryTable8121014161816[[#This Row],[Amended Budget]]+CategoryTable8121014161816[[#This Row],[Actual to date]]</f>
        <v>50</v>
      </c>
      <c r="G58" s="95"/>
      <c r="H58" s="286"/>
      <c r="I58" s="383"/>
      <c r="J58" s="285"/>
      <c r="K58" s="285"/>
      <c r="L58" s="285"/>
      <c r="M58" s="446"/>
      <c r="N58" s="451"/>
      <c r="O58" s="451">
        <f>IF(ISBLANK(CkReg16_18151715[[#This Row],[Withdrawal]]),O57+CkReg16_18151715[[#This Row],[Deposit]],O57-CkReg16_18151715[[#This Row],[Withdrawal]])</f>
        <v>4649.79</v>
      </c>
      <c r="P58" s="376"/>
      <c r="Q58" s="457">
        <f>IF(ISBLANK(CkReg16_18151715[[#This Row],[Withdrawal]]),Q57+CkReg16_18151715[[#This Row],[Deposit]],Q57-CkReg16_18151715[[#This Row],[Withdrawal]])</f>
        <v>13364.789999999999</v>
      </c>
      <c r="R58" s="376"/>
    </row>
    <row r="59" spans="2:18" x14ac:dyDescent="0.3">
      <c r="B59" s="94" t="s">
        <v>66</v>
      </c>
      <c r="C59" s="95">
        <f>-(SUMIF(CkReg16_18151715[Category],"=" &amp;CategoryTable8121014161816[[#This Row],[Category]],CkReg16_18151715[Withdrawal]))</f>
        <v>0</v>
      </c>
      <c r="D59" s="95">
        <v>-4500</v>
      </c>
      <c r="E59" s="95">
        <v>-4500</v>
      </c>
      <c r="F59" s="95">
        <f>-CategoryTable8121014161816[[#This Row],[Amended Budget]]+CategoryTable8121014161816[[#This Row],[Actual to date]]</f>
        <v>4500</v>
      </c>
      <c r="G59" s="95"/>
      <c r="H59" s="286"/>
      <c r="I59" s="383"/>
      <c r="J59" s="285"/>
      <c r="K59" s="285"/>
      <c r="L59" s="285"/>
      <c r="M59" s="446"/>
      <c r="N59" s="451"/>
      <c r="O59" s="451">
        <f>IF(ISBLANK(CkReg16_18151715[[#This Row],[Withdrawal]]),O58+CkReg16_18151715[[#This Row],[Deposit]],O58-CkReg16_18151715[[#This Row],[Withdrawal]])</f>
        <v>4649.79</v>
      </c>
      <c r="P59" s="376"/>
      <c r="Q59" s="457">
        <f>IF(ISBLANK(CkReg16_18151715[[#This Row],[Withdrawal]]),Q58+CkReg16_18151715[[#This Row],[Deposit]],Q58-CkReg16_18151715[[#This Row],[Withdrawal]])</f>
        <v>13364.789999999999</v>
      </c>
      <c r="R59" s="376"/>
    </row>
    <row r="60" spans="2:18" x14ac:dyDescent="0.3">
      <c r="B60" s="94" t="s">
        <v>67</v>
      </c>
      <c r="C60" s="95">
        <f>-(SUMIF(CkReg16_18151715[Category],"=" &amp;CategoryTable8121014161816[[#This Row],[Category]],CkReg16_18151715[Withdrawal]))</f>
        <v>0</v>
      </c>
      <c r="D60" s="95">
        <v>-3865</v>
      </c>
      <c r="E60" s="95">
        <v>-3865</v>
      </c>
      <c r="F60" s="95">
        <f>-CategoryTable8121014161816[[#This Row],[Amended Budget]]+CategoryTable8121014161816[[#This Row],[Actual to date]]</f>
        <v>3865</v>
      </c>
      <c r="G60" s="95"/>
      <c r="H60" s="286"/>
      <c r="I60" s="383"/>
      <c r="J60" s="285"/>
      <c r="K60" s="285"/>
      <c r="L60" s="285"/>
      <c r="M60" s="446"/>
      <c r="N60" s="451"/>
      <c r="O60" s="451">
        <f>IF(ISBLANK(CkReg16_18151715[[#This Row],[Withdrawal]]),O59+CkReg16_18151715[[#This Row],[Deposit]],O59-CkReg16_18151715[[#This Row],[Withdrawal]])</f>
        <v>4649.79</v>
      </c>
      <c r="P60" s="376"/>
      <c r="Q60" s="457">
        <f>IF(ISBLANK(CkReg16_18151715[[#This Row],[Withdrawal]]),Q59+CkReg16_18151715[[#This Row],[Deposit]],Q59-CkReg16_18151715[[#This Row],[Withdrawal]])</f>
        <v>13364.789999999999</v>
      </c>
      <c r="R60" s="376"/>
    </row>
    <row r="61" spans="2:18" x14ac:dyDescent="0.3">
      <c r="B61" s="94" t="s">
        <v>918</v>
      </c>
      <c r="C61" s="95">
        <f>SUMIF(MyTransactions[Category],"=" &amp;CategoryTable8121014161816[[#This Row],[Category]],MyTransactions[Withdrawal])</f>
        <v>0</v>
      </c>
      <c r="D61" s="95">
        <v>-135</v>
      </c>
      <c r="E61" s="95">
        <v>-135</v>
      </c>
      <c r="F61" s="95">
        <f>-CategoryTable8121014161816[[#This Row],[Budget]]+CategoryTable8121014161816[[#This Row],[Actual to date]]</f>
        <v>135</v>
      </c>
      <c r="G61" s="95"/>
      <c r="H61" s="286"/>
      <c r="I61" s="383"/>
      <c r="J61" s="285"/>
      <c r="K61" s="285"/>
      <c r="L61" s="285"/>
      <c r="M61" s="446"/>
      <c r="N61" s="451"/>
      <c r="O61" s="451">
        <f>IF(ISBLANK(CkReg16_18151715[[#This Row],[Withdrawal]]),O60+CkReg16_18151715[[#This Row],[Deposit]],O60-CkReg16_18151715[[#This Row],[Withdrawal]])</f>
        <v>4649.79</v>
      </c>
      <c r="P61" s="376"/>
      <c r="Q61" s="457">
        <f>IF(ISBLANK(CkReg16_18151715[[#This Row],[Withdrawal]]),Q60+CkReg16_18151715[[#This Row],[Deposit]],Q60-CkReg16_18151715[[#This Row],[Withdrawal]])</f>
        <v>13364.789999999999</v>
      </c>
      <c r="R61" s="376"/>
    </row>
    <row r="62" spans="2:18" x14ac:dyDescent="0.3">
      <c r="B62" s="94" t="s">
        <v>68</v>
      </c>
      <c r="C62" s="95">
        <f>-(SUMIF(CkReg16_18151715[Category],"=" &amp;CategoryTable8121014161816[[#This Row],[Category]],CkReg16_18151715[Withdrawal]))</f>
        <v>0</v>
      </c>
      <c r="D62" s="95">
        <v>-1000</v>
      </c>
      <c r="E62" s="95">
        <v>-1000</v>
      </c>
      <c r="F62" s="95">
        <f>-CategoryTable8121014161816[[#This Row],[Amended Budget]]+CategoryTable8121014161816[[#This Row],[Actual to date]]</f>
        <v>1000</v>
      </c>
      <c r="G62" s="95"/>
      <c r="H62" s="286"/>
      <c r="I62" s="383"/>
      <c r="J62" s="285"/>
      <c r="K62" s="285"/>
      <c r="L62" s="285"/>
      <c r="M62" s="446"/>
      <c r="N62" s="451"/>
      <c r="O62" s="451">
        <f>IF(ISBLANK(CkReg16_18151715[[#This Row],[Withdrawal]]),O61+CkReg16_18151715[[#This Row],[Deposit]],O61-CkReg16_18151715[[#This Row],[Withdrawal]])</f>
        <v>4649.79</v>
      </c>
      <c r="P62" s="376"/>
      <c r="Q62" s="457">
        <f>IF(ISBLANK(CkReg16_18151715[[#This Row],[Withdrawal]]),Q61+CkReg16_18151715[[#This Row],[Deposit]],Q61-CkReg16_18151715[[#This Row],[Withdrawal]])</f>
        <v>13364.789999999999</v>
      </c>
      <c r="R62" s="376"/>
    </row>
    <row r="63" spans="2:18" x14ac:dyDescent="0.3">
      <c r="B63" s="94" t="s">
        <v>69</v>
      </c>
      <c r="C63" s="95">
        <f>-(SUMIF(CkReg16_18151715[Category],"=" &amp;CategoryTable8121014161816[[#This Row],[Category]],CkReg16_18151715[Withdrawal]))</f>
        <v>-200</v>
      </c>
      <c r="D63" s="95">
        <v>-5600</v>
      </c>
      <c r="E63" s="95">
        <v>-5600</v>
      </c>
      <c r="F63" s="95">
        <f>-CategoryTable8121014161816[[#This Row],[Amended Budget]]+CategoryTable8121014161816[[#This Row],[Actual to date]]</f>
        <v>5400</v>
      </c>
      <c r="G63" s="95"/>
      <c r="H63" s="286"/>
      <c r="I63" s="383"/>
      <c r="J63" s="285"/>
      <c r="K63" s="285"/>
      <c r="L63" s="285"/>
      <c r="M63" s="446"/>
      <c r="N63" s="451"/>
      <c r="O63" s="451">
        <f>IF(ISBLANK(CkReg16_18151715[[#This Row],[Withdrawal]]),O62+CkReg16_18151715[[#This Row],[Deposit]],O62-CkReg16_18151715[[#This Row],[Withdrawal]])</f>
        <v>4649.79</v>
      </c>
      <c r="P63" s="376"/>
      <c r="Q63" s="457">
        <f>IF(ISBLANK(CkReg16_18151715[[#This Row],[Withdrawal]]),Q62+CkReg16_18151715[[#This Row],[Deposit]],Q62-CkReg16_18151715[[#This Row],[Withdrawal]])</f>
        <v>13364.789999999999</v>
      </c>
      <c r="R63" s="376"/>
    </row>
    <row r="64" spans="2:18" x14ac:dyDescent="0.3">
      <c r="B64" s="94" t="s">
        <v>920</v>
      </c>
      <c r="C64" s="95">
        <f>-(SUMIF(CkReg16_18151715[Category],"=" &amp;CategoryTable8121014161816[[#This Row],[Category]],CkReg16_18151715[Withdrawal]))</f>
        <v>0</v>
      </c>
      <c r="D64" s="95">
        <v>-550</v>
      </c>
      <c r="E64" s="95">
        <v>-550</v>
      </c>
      <c r="F64" s="95">
        <f>-CategoryTable8121014161816[[#This Row],[Amended Budget]]+CategoryTable8121014161816[[#This Row],[Actual to date]]</f>
        <v>550</v>
      </c>
      <c r="G64" s="95"/>
      <c r="H64" s="286"/>
      <c r="I64" s="383"/>
      <c r="J64" s="285"/>
      <c r="K64" s="285"/>
      <c r="L64" s="285"/>
      <c r="M64" s="446"/>
      <c r="N64" s="451"/>
      <c r="O64" s="451">
        <f>IF(ISBLANK(CkReg16_18151715[[#This Row],[Withdrawal]]),O63+CkReg16_18151715[[#This Row],[Deposit]],O63-CkReg16_18151715[[#This Row],[Withdrawal]])</f>
        <v>4649.79</v>
      </c>
      <c r="P64" s="376"/>
      <c r="Q64" s="457">
        <f>IF(ISBLANK(CkReg16_18151715[[#This Row],[Withdrawal]]),Q63+CkReg16_18151715[[#This Row],[Deposit]],Q63-CkReg16_18151715[[#This Row],[Withdrawal]])</f>
        <v>13364.789999999999</v>
      </c>
      <c r="R64" s="376"/>
    </row>
    <row r="65" spans="2:18" x14ac:dyDescent="0.3">
      <c r="B65" s="94" t="s">
        <v>919</v>
      </c>
      <c r="C65" s="95">
        <f>SUMIF(MyTransactions[Category],"=" &amp;CategoryTable8121014161816[[#This Row],[Category]],MyTransactions[Withdrawal])</f>
        <v>0</v>
      </c>
      <c r="D65" s="95">
        <v>-360</v>
      </c>
      <c r="E65" s="95">
        <v>-360</v>
      </c>
      <c r="F65" s="95">
        <f>-CategoryTable8121014161816[[#This Row],[Budget]]+CategoryTable8121014161816[[#This Row],[Actual to date]]</f>
        <v>360</v>
      </c>
      <c r="G65" s="95"/>
      <c r="H65" s="286"/>
      <c r="I65" s="383"/>
      <c r="J65" s="285"/>
      <c r="K65" s="285"/>
      <c r="L65" s="285"/>
      <c r="M65" s="446"/>
      <c r="N65" s="451"/>
      <c r="O65" s="451">
        <f>IF(ISBLANK(CkReg16_18151715[[#This Row],[Withdrawal]]),O64+CkReg16_18151715[[#This Row],[Deposit]],O64-CkReg16_18151715[[#This Row],[Withdrawal]])</f>
        <v>4649.79</v>
      </c>
      <c r="P65" s="376"/>
      <c r="Q65" s="457">
        <f>IF(ISBLANK(CkReg16_18151715[[#This Row],[Withdrawal]]),Q64+CkReg16_18151715[[#This Row],[Deposit]],Q64-CkReg16_18151715[[#This Row],[Withdrawal]])</f>
        <v>13364.789999999999</v>
      </c>
      <c r="R65" s="376"/>
    </row>
    <row r="66" spans="2:18" x14ac:dyDescent="0.3">
      <c r="B66" s="94" t="s">
        <v>71</v>
      </c>
      <c r="C66" s="95">
        <f>-(SUMIF(CkReg16_18151715[Category],"=" &amp;CategoryTable8121014161816[[#This Row],[Category]],CkReg16_18151715[Withdrawal]))</f>
        <v>0</v>
      </c>
      <c r="D66" s="95">
        <v>-50</v>
      </c>
      <c r="E66" s="95">
        <v>-50</v>
      </c>
      <c r="F66" s="95">
        <f>-CategoryTable8121014161816[[#This Row],[Amended Budget]]+CategoryTable8121014161816[[#This Row],[Actual to date]]</f>
        <v>50</v>
      </c>
      <c r="H66" s="286"/>
      <c r="I66" s="383"/>
      <c r="J66" s="285"/>
      <c r="K66" s="285"/>
      <c r="L66" s="285"/>
      <c r="M66" s="446"/>
      <c r="N66" s="451"/>
      <c r="O66" s="451">
        <f>IF(ISBLANK(CkReg16_18151715[[#This Row],[Withdrawal]]),O65+CkReg16_18151715[[#This Row],[Deposit]],O65-CkReg16_18151715[[#This Row],[Withdrawal]])</f>
        <v>4649.79</v>
      </c>
      <c r="P66" s="376"/>
      <c r="Q66" s="457">
        <f>IF(ISBLANK(CkReg16_18151715[[#This Row],[Withdrawal]]),Q65+CkReg16_18151715[[#This Row],[Deposit]],Q65-CkReg16_18151715[[#This Row],[Withdrawal]])</f>
        <v>13364.789999999999</v>
      </c>
      <c r="R66" s="376"/>
    </row>
    <row r="67" spans="2:18" x14ac:dyDescent="0.3">
      <c r="B67" s="94" t="s">
        <v>72</v>
      </c>
      <c r="C67" s="95">
        <f>-(SUMIF(CkReg16_18151715[Category],"=" &amp;CategoryTable8121014161816[[#This Row],[Category]],CkReg16_18151715[Withdrawal]))</f>
        <v>0</v>
      </c>
      <c r="D67" s="95">
        <v>-250</v>
      </c>
      <c r="E67" s="95">
        <v>-250</v>
      </c>
      <c r="F67" s="95">
        <f>-CategoryTable8121014161816[[#This Row],[Amended Budget]]+CategoryTable8121014161816[[#This Row],[Actual to date]]</f>
        <v>250</v>
      </c>
      <c r="H67" s="286"/>
      <c r="I67" s="383"/>
      <c r="J67" s="285"/>
      <c r="K67" s="285"/>
      <c r="L67" s="285"/>
      <c r="M67" s="446"/>
      <c r="N67" s="451"/>
      <c r="O67" s="451">
        <f>IF(ISBLANK(CkReg16_18151715[[#This Row],[Withdrawal]]),O66+CkReg16_18151715[[#This Row],[Deposit]],O66-CkReg16_18151715[[#This Row],[Withdrawal]])</f>
        <v>4649.79</v>
      </c>
      <c r="P67" s="376"/>
      <c r="Q67" s="457">
        <f>IF(ISBLANK(CkReg16_18151715[[#This Row],[Withdrawal]]),Q66+CkReg16_18151715[[#This Row],[Deposit]],Q66-CkReg16_18151715[[#This Row],[Withdrawal]])</f>
        <v>13364.789999999999</v>
      </c>
      <c r="R67" s="376"/>
    </row>
    <row r="68" spans="2:18" x14ac:dyDescent="0.3">
      <c r="B68" s="94" t="s">
        <v>73</v>
      </c>
      <c r="C68" s="95">
        <f>-(SUMIF(CkReg16_18151715[Category],"=" &amp;CategoryTable8121014161816[[#This Row],[Category]],CkReg16_18151715[Withdrawal]))</f>
        <v>0</v>
      </c>
      <c r="D68" s="95">
        <v>-100</v>
      </c>
      <c r="E68" s="95">
        <v>-100</v>
      </c>
      <c r="F68" s="95">
        <f>-CategoryTable8121014161816[[#This Row],[Amended Budget]]+CategoryTable8121014161816[[#This Row],[Actual to date]]</f>
        <v>100</v>
      </c>
      <c r="H68" s="286"/>
      <c r="I68" s="383"/>
      <c r="J68" s="285"/>
      <c r="K68" s="285"/>
      <c r="L68" s="285"/>
      <c r="M68" s="446"/>
      <c r="N68" s="451"/>
      <c r="O68" s="451">
        <f>IF(ISBLANK(CkReg16_18151715[[#This Row],[Withdrawal]]),O67+CkReg16_18151715[[#This Row],[Deposit]],O67-CkReg16_18151715[[#This Row],[Withdrawal]])</f>
        <v>4649.79</v>
      </c>
      <c r="P68" s="376"/>
      <c r="Q68" s="457">
        <f>IF(ISBLANK(CkReg16_18151715[[#This Row],[Withdrawal]]),Q67+CkReg16_18151715[[#This Row],[Deposit]],Q67-CkReg16_18151715[[#This Row],[Withdrawal]])</f>
        <v>13364.789999999999</v>
      </c>
      <c r="R68" s="376"/>
    </row>
    <row r="69" spans="2:18" x14ac:dyDescent="0.3">
      <c r="B69" s="94" t="s">
        <v>74</v>
      </c>
      <c r="C69" s="95">
        <f>-(SUMIF(CkReg16_18151715[Category],"=" &amp;CategoryTable8121014161816[[#This Row],[Category]],CkReg16_18151715[Withdrawal]))</f>
        <v>0</v>
      </c>
      <c r="D69" s="95">
        <v>-100</v>
      </c>
      <c r="E69" s="95">
        <v>-100</v>
      </c>
      <c r="F69" s="95">
        <f>-CategoryTable8121014161816[[#This Row],[Amended Budget]]+CategoryTable8121014161816[[#This Row],[Actual to date]]</f>
        <v>100</v>
      </c>
      <c r="H69" s="286"/>
      <c r="I69" s="383"/>
      <c r="J69" s="285"/>
      <c r="K69" s="285"/>
      <c r="L69" s="285"/>
      <c r="M69" s="446"/>
      <c r="N69" s="451"/>
      <c r="O69" s="451">
        <f>IF(ISBLANK(CkReg16_18151715[[#This Row],[Withdrawal]]),O68+CkReg16_18151715[[#This Row],[Deposit]],O68-CkReg16_18151715[[#This Row],[Withdrawal]])</f>
        <v>4649.79</v>
      </c>
      <c r="P69" s="376"/>
      <c r="Q69" s="457">
        <f>IF(ISBLANK(CkReg16_18151715[[#This Row],[Withdrawal]]),Q68+CkReg16_18151715[[#This Row],[Deposit]],Q68-CkReg16_18151715[[#This Row],[Withdrawal]])</f>
        <v>13364.789999999999</v>
      </c>
      <c r="R69" s="376"/>
    </row>
    <row r="70" spans="2:18" x14ac:dyDescent="0.3">
      <c r="B70" s="464" t="s">
        <v>462</v>
      </c>
      <c r="C70" s="95">
        <f>SUBTOTAL(109,C18:C69)</f>
        <v>4584.7899999999972</v>
      </c>
      <c r="D70" s="95">
        <f>SUBTOTAL(109,D18:D69)</f>
        <v>4633.2999999999993</v>
      </c>
      <c r="E70" s="95">
        <f>SUBTOTAL(109,E18:E69)</f>
        <v>4110.489999999998</v>
      </c>
      <c r="F70" s="95">
        <f>SUBTOTAL(109,F18:F69)</f>
        <v>474.29999999999927</v>
      </c>
      <c r="H70" s="286"/>
      <c r="I70" s="383"/>
      <c r="J70" s="285"/>
      <c r="K70" s="285"/>
      <c r="L70" s="285"/>
      <c r="M70" s="446"/>
      <c r="N70" s="451"/>
      <c r="O70" s="451">
        <f>IF(ISBLANK(CkReg16_18151715[[#This Row],[Withdrawal]]),O69+CkReg16_18151715[[#This Row],[Deposit]],O69-CkReg16_18151715[[#This Row],[Withdrawal]])</f>
        <v>4649.79</v>
      </c>
      <c r="P70" s="376"/>
      <c r="Q70" s="457">
        <f>IF(ISBLANK(CkReg16_18151715[[#This Row],[Withdrawal]]),Q69+CkReg16_18151715[[#This Row],[Deposit]],Q69-CkReg16_18151715[[#This Row],[Withdrawal]])</f>
        <v>13364.789999999999</v>
      </c>
      <c r="R70" s="376"/>
    </row>
    <row r="71" spans="2:18" s="70" customFormat="1" x14ac:dyDescent="0.3">
      <c r="B71" s="94" t="s">
        <v>950</v>
      </c>
      <c r="C71" s="95">
        <f>SUM(C53:C69)</f>
        <v>-200</v>
      </c>
      <c r="D71" s="95">
        <f>SUM(D53:D69)</f>
        <v>3190</v>
      </c>
      <c r="E71" s="95"/>
      <c r="F71" s="95">
        <f>SUM(F53:F69)</f>
        <v>-3390</v>
      </c>
      <c r="H71" s="286"/>
      <c r="I71" s="383"/>
      <c r="J71" s="285"/>
      <c r="K71" s="285"/>
      <c r="L71" s="285"/>
      <c r="M71" s="446"/>
      <c r="N71" s="451">
        <f>+'Check Register 2015'!M243</f>
        <v>0</v>
      </c>
      <c r="O71" s="451">
        <f>IF(ISBLANK(CkReg16_18151715[[#This Row],[Withdrawal]]),O70+CkReg16_18151715[[#This Row],[Deposit]],O70-CkReg16_18151715[[#This Row],[Withdrawal]])</f>
        <v>4649.79</v>
      </c>
      <c r="P71" s="376"/>
      <c r="Q71" s="457">
        <f>IF(ISBLANK(CkReg16_18151715[[#This Row],[Withdrawal]]),Q70+CkReg16_18151715[[#This Row],[Deposit]],Q70-CkReg16_18151715[[#This Row],[Withdrawal]])</f>
        <v>13364.789999999999</v>
      </c>
      <c r="R71" s="376"/>
    </row>
    <row r="72" spans="2:18" s="70" customFormat="1" ht="12.75" customHeight="1" x14ac:dyDescent="0.3">
      <c r="B72" s="94"/>
      <c r="C72" s="95"/>
      <c r="D72" s="95"/>
      <c r="E72" s="95"/>
      <c r="F72" s="95"/>
      <c r="H72" s="416"/>
      <c r="I72" s="383"/>
      <c r="J72" s="285"/>
      <c r="K72" s="285"/>
      <c r="L72" s="285"/>
      <c r="M72" s="446"/>
      <c r="N72" s="453"/>
      <c r="O72" s="451">
        <f>IF(ISBLANK(CkReg16_18151715[[#This Row],[Withdrawal]]),O71+CkReg16_18151715[[#This Row],[Deposit]],O71-CkReg16_18151715[[#This Row],[Withdrawal]])</f>
        <v>4649.79</v>
      </c>
      <c r="P72" s="376"/>
      <c r="Q72" s="457">
        <f>IF(ISBLANK(CkReg16_18151715[[#This Row],[Withdrawal]]),Q71+CkReg16_18151715[[#This Row],[Deposit]],Q71-CkReg16_18151715[[#This Row],[Withdrawal]])</f>
        <v>13364.789999999999</v>
      </c>
      <c r="R72" s="417"/>
    </row>
    <row r="73" spans="2:18" s="70" customFormat="1" ht="12.75" customHeight="1" x14ac:dyDescent="0.3">
      <c r="B73" s="467" t="s">
        <v>872</v>
      </c>
      <c r="C73" s="444"/>
      <c r="D73" s="444"/>
      <c r="E73" s="444"/>
      <c r="F73" s="445"/>
      <c r="H73" s="416"/>
      <c r="I73" s="383"/>
      <c r="J73" s="285"/>
      <c r="K73" s="285"/>
      <c r="L73" s="285"/>
      <c r="M73" s="446"/>
      <c r="N73" s="454"/>
      <c r="O73" s="451">
        <f>IF(ISBLANK(CkReg16_18151715[[#This Row],[Withdrawal]]),O72+CkReg16_18151715[[#This Row],[Deposit]],O72-CkReg16_18151715[[#This Row],[Withdrawal]])</f>
        <v>4649.79</v>
      </c>
      <c r="P73" s="376"/>
      <c r="Q73" s="457">
        <f>IF(ISBLANK(CkReg16_18151715[[#This Row],[Withdrawal]]),Q72+CkReg16_18151715[[#This Row],[Deposit]],Q72-CkReg16_18151715[[#This Row],[Withdrawal]])</f>
        <v>13364.789999999999</v>
      </c>
      <c r="R73" s="417"/>
    </row>
    <row r="74" spans="2:18" x14ac:dyDescent="0.3">
      <c r="B74" s="551" t="s">
        <v>983</v>
      </c>
      <c r="C74" s="551"/>
      <c r="D74" s="551"/>
      <c r="E74" s="551"/>
      <c r="F74" s="551"/>
      <c r="H74" s="286"/>
      <c r="I74" s="383"/>
      <c r="J74" s="285"/>
      <c r="K74" s="285"/>
      <c r="L74" s="285"/>
      <c r="M74" s="446"/>
      <c r="N74" s="451"/>
      <c r="O74" s="451">
        <f>IF(ISBLANK(CkReg16_18151715[[#This Row],[Withdrawal]]),O73+CkReg16_18151715[[#This Row],[Deposit]],O73-CkReg16_18151715[[#This Row],[Withdrawal]])</f>
        <v>4649.79</v>
      </c>
      <c r="P74" s="376"/>
      <c r="Q74" s="457">
        <f>IF(ISBLANK(CkReg16_18151715[[#This Row],[Withdrawal]]),Q73+CkReg16_18151715[[#This Row],[Deposit]],Q73-CkReg16_18151715[[#This Row],[Withdrawal]])</f>
        <v>13364.789999999999</v>
      </c>
      <c r="R74" s="376"/>
    </row>
    <row r="75" spans="2:18" x14ac:dyDescent="0.3">
      <c r="B75" s="551"/>
      <c r="C75" s="551"/>
      <c r="D75" s="551"/>
      <c r="E75" s="551"/>
      <c r="F75" s="551"/>
      <c r="H75" s="286"/>
      <c r="I75" s="383"/>
      <c r="J75" s="285"/>
      <c r="K75" s="285"/>
      <c r="L75" s="285"/>
      <c r="M75" s="446"/>
      <c r="N75" s="451"/>
      <c r="O75" s="451">
        <f>IF(ISBLANK(CkReg16_18151715[[#This Row],[Withdrawal]]),O74+CkReg16_18151715[[#This Row],[Deposit]],O74-CkReg16_18151715[[#This Row],[Withdrawal]])</f>
        <v>4649.79</v>
      </c>
      <c r="P75" s="376"/>
      <c r="Q75" s="457">
        <f>IF(ISBLANK(CkReg16_18151715[[#This Row],[Withdrawal]]),Q74+CkReg16_18151715[[#This Row],[Deposit]],Q74-CkReg16_18151715[[#This Row],[Withdrawal]])</f>
        <v>13364.789999999999</v>
      </c>
      <c r="R75" s="376"/>
    </row>
    <row r="76" spans="2:18" x14ac:dyDescent="0.3">
      <c r="B76" s="551"/>
      <c r="C76" s="551"/>
      <c r="D76" s="551"/>
      <c r="E76" s="551"/>
      <c r="F76" s="551"/>
      <c r="H76" s="286"/>
      <c r="I76" s="383"/>
      <c r="J76" s="285"/>
      <c r="K76" s="285"/>
      <c r="L76" s="285"/>
      <c r="M76" s="446"/>
      <c r="N76" s="451"/>
      <c r="O76" s="451">
        <f>IF(ISBLANK(CkReg16_18151715[[#This Row],[Withdrawal]]),O75+CkReg16_18151715[[#This Row],[Deposit]],O75-CkReg16_18151715[[#This Row],[Withdrawal]])</f>
        <v>4649.79</v>
      </c>
      <c r="P76" s="376"/>
      <c r="Q76" s="457">
        <f>IF(ISBLANK(CkReg16_18151715[[#This Row],[Withdrawal]]),Q75+CkReg16_18151715[[#This Row],[Deposit]],Q75-CkReg16_18151715[[#This Row],[Withdrawal]])</f>
        <v>13364.789999999999</v>
      </c>
      <c r="R76" s="376"/>
    </row>
    <row r="77" spans="2:18" x14ac:dyDescent="0.3">
      <c r="B77" s="551"/>
      <c r="C77" s="551"/>
      <c r="D77" s="551"/>
      <c r="E77" s="551"/>
      <c r="F77" s="551"/>
      <c r="H77" s="286"/>
      <c r="I77" s="383"/>
      <c r="J77" s="285"/>
      <c r="K77" s="285"/>
      <c r="L77" s="285"/>
      <c r="M77" s="446"/>
      <c r="N77" s="451"/>
      <c r="O77" s="451">
        <f>IF(ISBLANK(CkReg16_18151715[[#This Row],[Withdrawal]]),O76+CkReg16_18151715[[#This Row],[Deposit]],O76-CkReg16_18151715[[#This Row],[Withdrawal]])</f>
        <v>4649.79</v>
      </c>
      <c r="P77" s="376"/>
      <c r="Q77" s="457">
        <f>IF(ISBLANK(CkReg16_18151715[[#This Row],[Withdrawal]]),Q76+CkReg16_18151715[[#This Row],[Deposit]],Q76-CkReg16_18151715[[#This Row],[Withdrawal]])</f>
        <v>13364.789999999999</v>
      </c>
      <c r="R77" s="376"/>
    </row>
    <row r="78" spans="2:18" ht="12.75" customHeight="1" x14ac:dyDescent="0.3">
      <c r="B78" s="551"/>
      <c r="C78" s="551"/>
      <c r="D78" s="551"/>
      <c r="E78" s="551"/>
      <c r="F78" s="551"/>
      <c r="H78" s="286"/>
      <c r="I78" s="383"/>
      <c r="J78" s="285"/>
      <c r="K78" s="285"/>
      <c r="L78" s="285"/>
      <c r="M78" s="446"/>
      <c r="N78" s="451"/>
      <c r="O78" s="451">
        <f>IF(ISBLANK(CkReg16_18151715[[#This Row],[Withdrawal]]),O77+CkReg16_18151715[[#This Row],[Deposit]],O77-CkReg16_18151715[[#This Row],[Withdrawal]])</f>
        <v>4649.79</v>
      </c>
      <c r="P78" s="376"/>
      <c r="Q78" s="457">
        <f>IF(ISBLANK(CkReg16_18151715[[#This Row],[Withdrawal]]),Q77+CkReg16_18151715[[#This Row],[Deposit]],Q77-CkReg16_18151715[[#This Row],[Withdrawal]])</f>
        <v>13364.789999999999</v>
      </c>
      <c r="R78" s="376"/>
    </row>
    <row r="79" spans="2:18" x14ac:dyDescent="0.3">
      <c r="B79" s="551"/>
      <c r="C79" s="551"/>
      <c r="D79" s="551"/>
      <c r="E79" s="551"/>
      <c r="F79" s="551"/>
      <c r="H79" s="286"/>
      <c r="I79" s="383"/>
      <c r="J79" s="285"/>
      <c r="K79" s="285"/>
      <c r="L79" s="285"/>
      <c r="M79" s="446"/>
      <c r="N79" s="451"/>
      <c r="O79" s="451">
        <f>IF(ISBLANK(CkReg16_18151715[[#This Row],[Withdrawal]]),O78+CkReg16_18151715[[#This Row],[Deposit]],O78-CkReg16_18151715[[#This Row],[Withdrawal]])</f>
        <v>4649.79</v>
      </c>
      <c r="P79" s="376"/>
      <c r="Q79" s="457">
        <f>IF(ISBLANK(CkReg16_18151715[[#This Row],[Withdrawal]]),Q78+CkReg16_18151715[[#This Row],[Deposit]],Q78-CkReg16_18151715[[#This Row],[Withdrawal]])</f>
        <v>13364.789999999999</v>
      </c>
      <c r="R79" s="376"/>
    </row>
    <row r="80" spans="2:18" x14ac:dyDescent="0.3">
      <c r="B80" s="551"/>
      <c r="C80" s="551"/>
      <c r="D80" s="551"/>
      <c r="E80" s="551"/>
      <c r="F80" s="551"/>
      <c r="H80" s="286"/>
      <c r="I80" s="383"/>
      <c r="J80" s="285"/>
      <c r="K80" s="285"/>
      <c r="L80" s="285"/>
      <c r="M80" s="446"/>
      <c r="N80" s="451"/>
      <c r="O80" s="451">
        <f>IF(ISBLANK(CkReg16_18151715[[#This Row],[Withdrawal]]),O79+CkReg16_18151715[[#This Row],[Deposit]],O79-CkReg16_18151715[[#This Row],[Withdrawal]])</f>
        <v>4649.79</v>
      </c>
      <c r="P80" s="376"/>
      <c r="Q80" s="457">
        <f>IF(ISBLANK(CkReg16_18151715[[#This Row],[Withdrawal]]),Q79+CkReg16_18151715[[#This Row],[Deposit]],Q79-CkReg16_18151715[[#This Row],[Withdrawal]])</f>
        <v>13364.789999999999</v>
      </c>
      <c r="R80" s="376"/>
    </row>
    <row r="81" spans="2:18" x14ac:dyDescent="0.3">
      <c r="H81" s="286"/>
      <c r="I81" s="383"/>
      <c r="J81" s="285"/>
      <c r="K81" s="285"/>
      <c r="L81" s="285"/>
      <c r="M81" s="446"/>
      <c r="N81" s="451"/>
      <c r="O81" s="451">
        <f>IF(ISBLANK(CkReg16_18151715[[#This Row],[Withdrawal]]),O80+CkReg16_18151715[[#This Row],[Deposit]],O80-CkReg16_18151715[[#This Row],[Withdrawal]])</f>
        <v>4649.79</v>
      </c>
      <c r="P81" s="376"/>
      <c r="Q81" s="457">
        <f>IF(ISBLANK(CkReg16_18151715[[#This Row],[Withdrawal]]),Q80+CkReg16_18151715[[#This Row],[Deposit]],Q80-CkReg16_18151715[[#This Row],[Withdrawal]])</f>
        <v>13364.789999999999</v>
      </c>
      <c r="R81" s="376"/>
    </row>
    <row r="82" spans="2:18" x14ac:dyDescent="0.3">
      <c r="H82" s="286"/>
      <c r="I82" s="383"/>
      <c r="J82" s="285"/>
      <c r="K82" s="285"/>
      <c r="L82" s="285"/>
      <c r="M82" s="446"/>
      <c r="N82" s="451"/>
      <c r="O82" s="451">
        <f>IF(ISBLANK(CkReg16_18151715[[#This Row],[Withdrawal]]),O81+CkReg16_18151715[[#This Row],[Deposit]],O81-CkReg16_18151715[[#This Row],[Withdrawal]])</f>
        <v>4649.79</v>
      </c>
      <c r="P82" s="376"/>
      <c r="Q82" s="457">
        <f>IF(ISBLANK(CkReg16_18151715[[#This Row],[Withdrawal]]),Q81+CkReg16_18151715[[#This Row],[Deposit]],Q81-CkReg16_18151715[[#This Row],[Withdrawal]])</f>
        <v>13364.789999999999</v>
      </c>
      <c r="R82" s="376"/>
    </row>
    <row r="83" spans="2:18" x14ac:dyDescent="0.3">
      <c r="H83" s="286"/>
      <c r="I83" s="383"/>
      <c r="J83" s="285"/>
      <c r="K83" s="285"/>
      <c r="L83" s="285"/>
      <c r="M83" s="446"/>
      <c r="N83" s="451"/>
      <c r="O83" s="451">
        <f>IF(ISBLANK(CkReg16_18151715[[#This Row],[Withdrawal]]),O82+CkReg16_18151715[[#This Row],[Deposit]],O82-CkReg16_18151715[[#This Row],[Withdrawal]])</f>
        <v>4649.79</v>
      </c>
      <c r="P83" s="376"/>
      <c r="Q83" s="457">
        <f>IF(ISBLANK(CkReg16_18151715[[#This Row],[Withdrawal]]),Q82+CkReg16_18151715[[#This Row],[Deposit]],Q82-CkReg16_18151715[[#This Row],[Withdrawal]])</f>
        <v>13364.789999999999</v>
      </c>
      <c r="R83" s="376"/>
    </row>
    <row r="84" spans="2:18" x14ac:dyDescent="0.3">
      <c r="H84" s="286"/>
      <c r="I84" s="383"/>
      <c r="J84" s="285"/>
      <c r="K84" s="285"/>
      <c r="L84" s="285"/>
      <c r="M84" s="446"/>
      <c r="N84" s="451"/>
      <c r="O84" s="451">
        <f>IF(ISBLANK(CkReg16_18151715[[#This Row],[Withdrawal]]),O83+CkReg16_18151715[[#This Row],[Deposit]],O83-CkReg16_18151715[[#This Row],[Withdrawal]])</f>
        <v>4649.79</v>
      </c>
      <c r="P84" s="376"/>
      <c r="Q84" s="457">
        <f>IF(ISBLANK(CkReg16_18151715[[#This Row],[Withdrawal]]),Q83+CkReg16_18151715[[#This Row],[Deposit]],Q83-CkReg16_18151715[[#This Row],[Withdrawal]])</f>
        <v>13364.789999999999</v>
      </c>
      <c r="R84" s="376"/>
    </row>
    <row r="85" spans="2:18" x14ac:dyDescent="0.3">
      <c r="H85" s="286"/>
      <c r="I85" s="383"/>
      <c r="J85" s="285"/>
      <c r="K85" s="285"/>
      <c r="L85" s="285"/>
      <c r="M85" s="446"/>
      <c r="N85" s="451"/>
      <c r="O85" s="451">
        <f>IF(ISBLANK(CkReg16_18151715[[#This Row],[Withdrawal]]),O84+CkReg16_18151715[[#This Row],[Deposit]],O84-CkReg16_18151715[[#This Row],[Withdrawal]])</f>
        <v>4649.79</v>
      </c>
      <c r="P85" s="376"/>
      <c r="Q85" s="457">
        <f>IF(ISBLANK(CkReg16_18151715[[#This Row],[Withdrawal]]),Q84+CkReg16_18151715[[#This Row],[Deposit]],Q84-CkReg16_18151715[[#This Row],[Withdrawal]])</f>
        <v>13364.789999999999</v>
      </c>
      <c r="R85" s="376"/>
    </row>
    <row r="86" spans="2:18" x14ac:dyDescent="0.3">
      <c r="H86" s="286"/>
      <c r="I86" s="383"/>
      <c r="J86" s="285"/>
      <c r="K86" s="285"/>
      <c r="L86" s="285"/>
      <c r="M86" s="446"/>
      <c r="N86" s="451"/>
      <c r="O86" s="451">
        <f>IF(ISBLANK(CkReg16_18151715[[#This Row],[Withdrawal]]),O85+CkReg16_18151715[[#This Row],[Deposit]],O85-CkReg16_18151715[[#This Row],[Withdrawal]])</f>
        <v>4649.79</v>
      </c>
      <c r="P86" s="376"/>
      <c r="Q86" s="457">
        <f>IF(ISBLANK(CkReg16_18151715[[#This Row],[Withdrawal]]),Q85+CkReg16_18151715[[#This Row],[Deposit]],Q85-CkReg16_18151715[[#This Row],[Withdrawal]])</f>
        <v>13364.789999999999</v>
      </c>
      <c r="R86" s="376"/>
    </row>
    <row r="87" spans="2:18" x14ac:dyDescent="0.3">
      <c r="H87" s="418"/>
      <c r="I87" s="383"/>
      <c r="J87" s="419"/>
      <c r="K87" s="419"/>
      <c r="L87" s="419"/>
      <c r="M87" s="446"/>
      <c r="N87" s="451"/>
      <c r="O87" s="451">
        <f>IF(ISBLANK(CkReg16_18151715[[#This Row],[Withdrawal]]),O86+CkReg16_18151715[[#This Row],[Deposit]],O86-CkReg16_18151715[[#This Row],[Withdrawal]])</f>
        <v>4649.79</v>
      </c>
      <c r="P87" s="376"/>
      <c r="Q87" s="457">
        <f>IF(ISBLANK(CkReg16_18151715[[#This Row],[Withdrawal]]),Q86+CkReg16_18151715[[#This Row],[Deposit]],Q86-CkReg16_18151715[[#This Row],[Withdrawal]])</f>
        <v>13364.789999999999</v>
      </c>
      <c r="R87" s="376"/>
    </row>
    <row r="88" spans="2:18" x14ac:dyDescent="0.3">
      <c r="H88" s="286"/>
      <c r="I88" s="383"/>
      <c r="J88" s="285"/>
      <c r="K88" s="285"/>
      <c r="L88" s="285"/>
      <c r="M88" s="446"/>
      <c r="N88" s="451"/>
      <c r="O88" s="451">
        <f>IF(ISBLANK(CkReg16_18151715[[#This Row],[Withdrawal]]),O87+CkReg16_18151715[[#This Row],[Deposit]],O87-CkReg16_18151715[[#This Row],[Withdrawal]])</f>
        <v>4649.79</v>
      </c>
      <c r="P88" s="376"/>
      <c r="Q88" s="457">
        <f>IF(ISBLANK(CkReg16_18151715[[#This Row],[Withdrawal]]),Q87+CkReg16_18151715[[#This Row],[Deposit]],Q87-CkReg16_18151715[[#This Row],[Withdrawal]])</f>
        <v>13364.789999999999</v>
      </c>
      <c r="R88" s="376"/>
    </row>
    <row r="89" spans="2:18" x14ac:dyDescent="0.3">
      <c r="H89" s="286"/>
      <c r="I89" s="383"/>
      <c r="J89" s="285"/>
      <c r="K89" s="285"/>
      <c r="L89" s="285"/>
      <c r="M89" s="446"/>
      <c r="N89" s="451"/>
      <c r="O89" s="451">
        <f>IF(ISBLANK(CkReg16_18151715[[#This Row],[Withdrawal]]),O88+CkReg16_18151715[[#This Row],[Deposit]],O88-CkReg16_18151715[[#This Row],[Withdrawal]])</f>
        <v>4649.79</v>
      </c>
      <c r="P89" s="376"/>
      <c r="Q89" s="457">
        <f>IF(ISBLANK(CkReg16_18151715[[#This Row],[Withdrawal]]),Q88+CkReg16_18151715[[#This Row],[Deposit]],Q88-CkReg16_18151715[[#This Row],[Withdrawal]])</f>
        <v>13364.789999999999</v>
      </c>
      <c r="R89" s="376"/>
    </row>
    <row r="90" spans="2:18" x14ac:dyDescent="0.3">
      <c r="H90" s="286"/>
      <c r="I90" s="383"/>
      <c r="J90" s="285"/>
      <c r="K90" s="285"/>
      <c r="L90" s="285"/>
      <c r="M90" s="446"/>
      <c r="N90" s="451"/>
      <c r="O90" s="451">
        <f>IF(ISBLANK(CkReg16_18151715[[#This Row],[Withdrawal]]),O89+CkReg16_18151715[[#This Row],[Deposit]],O89-CkReg16_18151715[[#This Row],[Withdrawal]])</f>
        <v>4649.79</v>
      </c>
      <c r="P90" s="376"/>
      <c r="Q90" s="457">
        <f>IF(ISBLANK(CkReg16_18151715[[#This Row],[Withdrawal]]),Q89+CkReg16_18151715[[#This Row],[Deposit]],Q89-CkReg16_18151715[[#This Row],[Withdrawal]])</f>
        <v>13364.789999999999</v>
      </c>
      <c r="R90" s="376"/>
    </row>
    <row r="91" spans="2:18" s="70" customFormat="1" x14ac:dyDescent="0.3">
      <c r="B91" s="96"/>
      <c r="C91" s="96"/>
      <c r="D91" s="96"/>
      <c r="E91" s="96"/>
      <c r="H91" s="286"/>
      <c r="I91" s="383"/>
      <c r="J91" s="285"/>
      <c r="K91" s="285"/>
      <c r="L91" s="285"/>
      <c r="M91" s="446"/>
      <c r="N91" s="451"/>
      <c r="O91" s="451">
        <f>IF(ISBLANK(CkReg16_18151715[[#This Row],[Withdrawal]]),O90+CkReg16_18151715[[#This Row],[Deposit]],O90-CkReg16_18151715[[#This Row],[Withdrawal]])</f>
        <v>4649.79</v>
      </c>
      <c r="P91" s="376"/>
      <c r="Q91" s="457">
        <f>IF(ISBLANK(CkReg16_18151715[[#This Row],[Withdrawal]]),Q90+CkReg16_18151715[[#This Row],[Deposit]],Q90-CkReg16_18151715[[#This Row],[Withdrawal]])</f>
        <v>13364.789999999999</v>
      </c>
      <c r="R91" s="376"/>
    </row>
    <row r="92" spans="2:18" x14ac:dyDescent="0.3">
      <c r="H92" s="286"/>
      <c r="I92" s="383"/>
      <c r="J92" s="285"/>
      <c r="K92" s="285"/>
      <c r="L92" s="285"/>
      <c r="M92" s="446"/>
      <c r="N92" s="451"/>
      <c r="O92" s="451">
        <f>IF(ISBLANK(CkReg16_18151715[[#This Row],[Withdrawal]]),O91+CkReg16_18151715[[#This Row],[Deposit]],O91-CkReg16_18151715[[#This Row],[Withdrawal]])</f>
        <v>4649.79</v>
      </c>
      <c r="P92" s="376"/>
      <c r="Q92" s="457">
        <f>IF(ISBLANK(CkReg16_18151715[[#This Row],[Withdrawal]]),Q91+CkReg16_18151715[[#This Row],[Deposit]],Q91-CkReg16_18151715[[#This Row],[Withdrawal]])</f>
        <v>13364.789999999999</v>
      </c>
      <c r="R92" s="376"/>
    </row>
    <row r="93" spans="2:18" s="70" customFormat="1" x14ac:dyDescent="0.3">
      <c r="B93" s="96"/>
      <c r="C93" s="96"/>
      <c r="D93" s="96"/>
      <c r="E93" s="96"/>
      <c r="H93" s="286"/>
      <c r="I93" s="383"/>
      <c r="J93" s="285"/>
      <c r="K93" s="285"/>
      <c r="L93" s="285"/>
      <c r="M93" s="446"/>
      <c r="N93" s="451"/>
      <c r="O93" s="451">
        <f>IF(ISBLANK(CkReg16_18151715[[#This Row],[Withdrawal]]),O92+CkReg16_18151715[[#This Row],[Deposit]],O92-CkReg16_18151715[[#This Row],[Withdrawal]])</f>
        <v>4649.79</v>
      </c>
      <c r="P93" s="417"/>
      <c r="Q93" s="457">
        <f>IF(ISBLANK(CkReg16_18151715[[#This Row],[Withdrawal]]),Q92+CkReg16_18151715[[#This Row],[Deposit]],Q92-CkReg16_18151715[[#This Row],[Withdrawal]])</f>
        <v>13364.789999999999</v>
      </c>
      <c r="R93" s="417"/>
    </row>
    <row r="94" spans="2:18" x14ac:dyDescent="0.3">
      <c r="H94" s="286"/>
      <c r="I94" s="383"/>
      <c r="J94" s="285"/>
      <c r="K94" s="285"/>
      <c r="L94" s="285"/>
      <c r="M94" s="446"/>
      <c r="N94" s="451"/>
      <c r="O94" s="451">
        <f>IF(ISBLANK(CkReg16_18151715[[#This Row],[Withdrawal]]),O93+CkReg16_18151715[[#This Row],[Deposit]],O93-CkReg16_18151715[[#This Row],[Withdrawal]])</f>
        <v>4649.79</v>
      </c>
      <c r="P94" s="376"/>
      <c r="Q94" s="457">
        <f>IF(ISBLANK(CkReg16_18151715[[#This Row],[Withdrawal]]),Q93+CkReg16_18151715[[#This Row],[Deposit]],Q93-CkReg16_18151715[[#This Row],[Withdrawal]])</f>
        <v>13364.789999999999</v>
      </c>
      <c r="R94" s="376"/>
    </row>
    <row r="95" spans="2:18" x14ac:dyDescent="0.3">
      <c r="H95" s="286"/>
      <c r="I95" s="383"/>
      <c r="J95" s="285"/>
      <c r="K95" s="285"/>
      <c r="L95" s="285"/>
      <c r="M95" s="446"/>
      <c r="N95" s="451"/>
      <c r="O95" s="451">
        <f>IF(ISBLANK(CkReg16_18151715[[#This Row],[Withdrawal]]),O94+CkReg16_18151715[[#This Row],[Deposit]],O94-CkReg16_18151715[[#This Row],[Withdrawal]])</f>
        <v>4649.79</v>
      </c>
      <c r="P95" s="376"/>
      <c r="Q95" s="457">
        <f>IF(ISBLANK(CkReg16_18151715[[#This Row],[Withdrawal]]),Q94+CkReg16_18151715[[#This Row],[Deposit]],Q94-CkReg16_18151715[[#This Row],[Withdrawal]])</f>
        <v>13364.789999999999</v>
      </c>
      <c r="R95" s="417"/>
    </row>
    <row r="96" spans="2:18" x14ac:dyDescent="0.3">
      <c r="H96" s="286"/>
      <c r="I96" s="383"/>
      <c r="J96" s="285"/>
      <c r="K96" s="285"/>
      <c r="L96" s="285"/>
      <c r="M96" s="446"/>
      <c r="N96" s="451"/>
      <c r="O96" s="451">
        <f>IF(ISBLANK(CkReg16_18151715[[#This Row],[Withdrawal]]),O95+CkReg16_18151715[[#This Row],[Deposit]],O95-CkReg16_18151715[[#This Row],[Withdrawal]])</f>
        <v>4649.79</v>
      </c>
      <c r="P96" s="376"/>
      <c r="Q96" s="457">
        <f>IF(ISBLANK(CkReg16_18151715[[#This Row],[Withdrawal]]),Q95+CkReg16_18151715[[#This Row],[Deposit]],Q95-CkReg16_18151715[[#This Row],[Withdrawal]])</f>
        <v>13364.789999999999</v>
      </c>
      <c r="R96" s="376"/>
    </row>
    <row r="97" spans="4:18" x14ac:dyDescent="0.3">
      <c r="H97" s="416"/>
      <c r="I97" s="383"/>
      <c r="J97" s="285"/>
      <c r="K97" s="285"/>
      <c r="L97" s="285"/>
      <c r="M97" s="446"/>
      <c r="N97" s="451"/>
      <c r="O97" s="451">
        <f>IF(ISBLANK(CkReg16_18151715[[#This Row],[Withdrawal]]),O96+CkReg16_18151715[[#This Row],[Deposit]],O96-CkReg16_18151715[[#This Row],[Withdrawal]])</f>
        <v>4649.79</v>
      </c>
      <c r="P97" s="376"/>
      <c r="Q97" s="457">
        <f>IF(ISBLANK(CkReg16_18151715[[#This Row],[Withdrawal]]),Q96+CkReg16_18151715[[#This Row],[Deposit]],Q96-CkReg16_18151715[[#This Row],[Withdrawal]])</f>
        <v>13364.789999999999</v>
      </c>
      <c r="R97" s="376"/>
    </row>
    <row r="98" spans="4:18" x14ac:dyDescent="0.3">
      <c r="H98" s="416"/>
      <c r="I98" s="383"/>
      <c r="J98" s="285"/>
      <c r="K98" s="285"/>
      <c r="L98" s="285"/>
      <c r="M98" s="446"/>
      <c r="N98" s="451"/>
      <c r="O98" s="451">
        <f>IF(ISBLANK(CkReg16_18151715[[#This Row],[Withdrawal]]),O97+CkReg16_18151715[[#This Row],[Deposit]],O97-CkReg16_18151715[[#This Row],[Withdrawal]])</f>
        <v>4649.79</v>
      </c>
      <c r="P98" s="376"/>
      <c r="Q98" s="457">
        <f>IF(ISBLANK(CkReg16_18151715[[#This Row],[Withdrawal]]),Q97+CkReg16_18151715[[#This Row],[Deposit]],Q97-CkReg16_18151715[[#This Row],[Withdrawal]])</f>
        <v>13364.789999999999</v>
      </c>
      <c r="R98" s="376"/>
    </row>
    <row r="99" spans="4:18" x14ac:dyDescent="0.3">
      <c r="H99" s="286"/>
      <c r="I99" s="383"/>
      <c r="J99" s="285"/>
      <c r="K99" s="285"/>
      <c r="L99" s="285"/>
      <c r="M99" s="446"/>
      <c r="N99" s="451"/>
      <c r="O99" s="451">
        <f>IF(ISBLANK(CkReg16_18151715[[#This Row],[Withdrawal]]),O98+CkReg16_18151715[[#This Row],[Deposit]],O98-CkReg16_18151715[[#This Row],[Withdrawal]])</f>
        <v>4649.79</v>
      </c>
      <c r="P99" s="376"/>
      <c r="Q99" s="457">
        <f>IF(ISBLANK(CkReg16_18151715[[#This Row],[Withdrawal]]),Q98+CkReg16_18151715[[#This Row],[Deposit]],Q98-CkReg16_18151715[[#This Row],[Withdrawal]])</f>
        <v>13364.789999999999</v>
      </c>
      <c r="R99" s="376"/>
    </row>
    <row r="100" spans="4:18" x14ac:dyDescent="0.3">
      <c r="H100" s="286"/>
      <c r="I100" s="383"/>
      <c r="J100" s="285"/>
      <c r="K100" s="285"/>
      <c r="L100" s="285"/>
      <c r="M100" s="446"/>
      <c r="N100" s="451"/>
      <c r="O100" s="451">
        <f>IF(ISBLANK(CkReg16_18151715[[#This Row],[Withdrawal]]),O99+CkReg16_18151715[[#This Row],[Deposit]],O99-CkReg16_18151715[[#This Row],[Withdrawal]])</f>
        <v>4649.79</v>
      </c>
      <c r="P100" s="376"/>
      <c r="Q100" s="457">
        <f>IF(ISBLANK(CkReg16_18151715[[#This Row],[Withdrawal]]),Q99+CkReg16_18151715[[#This Row],[Deposit]],Q99-CkReg16_18151715[[#This Row],[Withdrawal]])</f>
        <v>13364.789999999999</v>
      </c>
      <c r="R100" s="376"/>
    </row>
    <row r="101" spans="4:18" x14ac:dyDescent="0.3">
      <c r="H101" s="286"/>
      <c r="I101" s="383"/>
      <c r="J101" s="285"/>
      <c r="K101" s="285"/>
      <c r="L101" s="285"/>
      <c r="M101" s="446"/>
      <c r="N101" s="451"/>
      <c r="O101" s="451">
        <f>IF(ISBLANK(CkReg16_18151715[[#This Row],[Withdrawal]]),O100+CkReg16_18151715[[#This Row],[Deposit]],O100-CkReg16_18151715[[#This Row],[Withdrawal]])</f>
        <v>4649.79</v>
      </c>
      <c r="P101" s="376"/>
      <c r="Q101" s="457">
        <f>IF(ISBLANK(CkReg16_18151715[[#This Row],[Withdrawal]]),Q100+CkReg16_18151715[[#This Row],[Deposit]],Q100-CkReg16_18151715[[#This Row],[Withdrawal]])</f>
        <v>13364.789999999999</v>
      </c>
      <c r="R101" s="376"/>
    </row>
    <row r="102" spans="4:18" x14ac:dyDescent="0.3">
      <c r="D102" s="99">
        <f>+N3</f>
        <v>13761.47</v>
      </c>
      <c r="H102" s="286"/>
      <c r="I102" s="383"/>
      <c r="J102" s="285"/>
      <c r="K102" s="285"/>
      <c r="L102" s="285"/>
      <c r="M102" s="446"/>
      <c r="N102" s="451"/>
      <c r="O102" s="451">
        <f>IF(ISBLANK(CkReg16_18151715[[#This Row],[Withdrawal]]),O101+CkReg16_18151715[[#This Row],[Deposit]],O101-CkReg16_18151715[[#This Row],[Withdrawal]])</f>
        <v>4649.79</v>
      </c>
      <c r="P102" s="376"/>
      <c r="Q102" s="457">
        <f>IF(ISBLANK(CkReg16_18151715[[#This Row],[Withdrawal]]),Q101+CkReg16_18151715[[#This Row],[Deposit]],Q101-CkReg16_18151715[[#This Row],[Withdrawal]])</f>
        <v>13364.789999999999</v>
      </c>
      <c r="R102" s="376"/>
    </row>
    <row r="103" spans="4:18" x14ac:dyDescent="0.3">
      <c r="D103" s="99">
        <f>-SUM(M7:M206)</f>
        <v>-2911.1399999999994</v>
      </c>
      <c r="H103" s="286"/>
      <c r="I103" s="383"/>
      <c r="J103" s="285"/>
      <c r="K103" s="285"/>
      <c r="L103" s="285"/>
      <c r="M103" s="446"/>
      <c r="N103" s="451"/>
      <c r="O103" s="451">
        <f>IF(ISBLANK(CkReg16_18151715[[#This Row],[Withdrawal]]),O102+CkReg16_18151715[[#This Row],[Deposit]],O102-CkReg16_18151715[[#This Row],[Withdrawal]])</f>
        <v>4649.79</v>
      </c>
      <c r="P103" s="376"/>
      <c r="Q103" s="457">
        <f>IF(ISBLANK(CkReg16_18151715[[#This Row],[Withdrawal]]),Q102+CkReg16_18151715[[#This Row],[Deposit]],Q102-CkReg16_18151715[[#This Row],[Withdrawal]])</f>
        <v>13364.789999999999</v>
      </c>
      <c r="R103" s="376"/>
    </row>
    <row r="104" spans="4:18" x14ac:dyDescent="0.3">
      <c r="D104" s="99">
        <f>SUM(N7:N206)</f>
        <v>1099.46</v>
      </c>
      <c r="H104" s="286"/>
      <c r="I104" s="383"/>
      <c r="J104" s="285"/>
      <c r="K104" s="285"/>
      <c r="L104" s="285"/>
      <c r="M104" s="446"/>
      <c r="N104" s="451"/>
      <c r="O104" s="451">
        <f>IF(ISBLANK(CkReg16_18151715[[#This Row],[Withdrawal]]),O103+CkReg16_18151715[[#This Row],[Deposit]],O103-CkReg16_18151715[[#This Row],[Withdrawal]])</f>
        <v>4649.79</v>
      </c>
      <c r="P104" s="376"/>
      <c r="Q104" s="457">
        <f>IF(ISBLANK(CkReg16_18151715[[#This Row],[Withdrawal]]),Q103+CkReg16_18151715[[#This Row],[Deposit]],Q103-CkReg16_18151715[[#This Row],[Withdrawal]])</f>
        <v>13364.789999999999</v>
      </c>
      <c r="R104" s="376"/>
    </row>
    <row r="105" spans="4:18" x14ac:dyDescent="0.3">
      <c r="D105" s="99">
        <f>SUM(D102:D104)</f>
        <v>11949.79</v>
      </c>
      <c r="H105" s="286"/>
      <c r="I105" s="383"/>
      <c r="J105" s="285"/>
      <c r="K105" s="285"/>
      <c r="L105" s="285"/>
      <c r="M105" s="446"/>
      <c r="N105" s="451"/>
      <c r="O105" s="451">
        <f>IF(ISBLANK(CkReg16_18151715[[#This Row],[Withdrawal]]),O104+CkReg16_18151715[[#This Row],[Deposit]],O104-CkReg16_18151715[[#This Row],[Withdrawal]])</f>
        <v>4649.79</v>
      </c>
      <c r="P105" s="376"/>
      <c r="Q105" s="457">
        <f>IF(ISBLANK(CkReg16_18151715[[#This Row],[Withdrawal]]),Q104+CkReg16_18151715[[#This Row],[Deposit]],Q104-CkReg16_18151715[[#This Row],[Withdrawal]])</f>
        <v>13364.789999999999</v>
      </c>
      <c r="R105" s="376"/>
    </row>
    <row r="106" spans="4:18" x14ac:dyDescent="0.3">
      <c r="H106" s="286"/>
      <c r="I106" s="383"/>
      <c r="J106" s="285"/>
      <c r="K106" s="285"/>
      <c r="L106" s="285"/>
      <c r="M106" s="446"/>
      <c r="N106" s="451"/>
      <c r="O106" s="451">
        <f>IF(ISBLANK(CkReg16_18151715[[#This Row],[Withdrawal]]),O105+CkReg16_18151715[[#This Row],[Deposit]],O105-CkReg16_18151715[[#This Row],[Withdrawal]])</f>
        <v>4649.79</v>
      </c>
      <c r="P106" s="376"/>
      <c r="Q106" s="457">
        <f>IF(ISBLANK(CkReg16_18151715[[#This Row],[Withdrawal]]),Q105+CkReg16_18151715[[#This Row],[Deposit]],Q105-CkReg16_18151715[[#This Row],[Withdrawal]])</f>
        <v>13364.789999999999</v>
      </c>
      <c r="R106" s="376"/>
    </row>
    <row r="107" spans="4:18" x14ac:dyDescent="0.3">
      <c r="H107" s="286"/>
      <c r="I107" s="383"/>
      <c r="J107" s="285"/>
      <c r="K107" s="285"/>
      <c r="L107" s="285"/>
      <c r="M107" s="446"/>
      <c r="N107" s="451"/>
      <c r="O107" s="451">
        <f>IF(ISBLANK(CkReg16_18151715[[#This Row],[Withdrawal]]),O106+CkReg16_18151715[[#This Row],[Deposit]],O106-CkReg16_18151715[[#This Row],[Withdrawal]])</f>
        <v>4649.79</v>
      </c>
      <c r="P107" s="376"/>
      <c r="Q107" s="457">
        <f>IF(ISBLANK(CkReg16_18151715[[#This Row],[Withdrawal]]),Q106+CkReg16_18151715[[#This Row],[Deposit]],Q106-CkReg16_18151715[[#This Row],[Withdrawal]])</f>
        <v>13364.789999999999</v>
      </c>
      <c r="R107" s="376"/>
    </row>
    <row r="108" spans="4:18" x14ac:dyDescent="0.3">
      <c r="H108" s="286"/>
      <c r="I108" s="383"/>
      <c r="J108" s="285"/>
      <c r="K108" s="285"/>
      <c r="L108" s="285"/>
      <c r="M108" s="446"/>
      <c r="N108" s="451"/>
      <c r="O108" s="451">
        <f>IF(ISBLANK(CkReg16_18151715[[#This Row],[Withdrawal]]),O107+CkReg16_18151715[[#This Row],[Deposit]],O107-CkReg16_18151715[[#This Row],[Withdrawal]])</f>
        <v>4649.79</v>
      </c>
      <c r="P108" s="376"/>
      <c r="Q108" s="457">
        <f>IF(ISBLANK(CkReg16_18151715[[#This Row],[Withdrawal]]),Q107+CkReg16_18151715[[#This Row],[Deposit]],Q107-CkReg16_18151715[[#This Row],[Withdrawal]])</f>
        <v>13364.789999999999</v>
      </c>
      <c r="R108" s="376"/>
    </row>
    <row r="109" spans="4:18" x14ac:dyDescent="0.3">
      <c r="H109" s="286"/>
      <c r="I109" s="383"/>
      <c r="J109" s="285"/>
      <c r="K109" s="285"/>
      <c r="L109" s="285"/>
      <c r="M109" s="446"/>
      <c r="N109" s="451"/>
      <c r="O109" s="451">
        <f>IF(ISBLANK(CkReg16_18151715[[#This Row],[Withdrawal]]),O108+CkReg16_18151715[[#This Row],[Deposit]],O108-CkReg16_18151715[[#This Row],[Withdrawal]])</f>
        <v>4649.79</v>
      </c>
      <c r="P109" s="376"/>
      <c r="Q109" s="457">
        <f>IF(ISBLANK(CkReg16_18151715[[#This Row],[Withdrawal]]),Q108+CkReg16_18151715[[#This Row],[Deposit]],Q108-CkReg16_18151715[[#This Row],[Withdrawal]])</f>
        <v>13364.789999999999</v>
      </c>
      <c r="R109" s="376"/>
    </row>
    <row r="110" spans="4:18" x14ac:dyDescent="0.3">
      <c r="H110" s="286"/>
      <c r="I110" s="383"/>
      <c r="J110" s="285"/>
      <c r="K110" s="285"/>
      <c r="L110" s="285"/>
      <c r="M110" s="446"/>
      <c r="N110" s="451"/>
      <c r="O110" s="451">
        <f>IF(ISBLANK(CkReg16_18151715[[#This Row],[Withdrawal]]),O109+CkReg16_18151715[[#This Row],[Deposit]],O109-CkReg16_18151715[[#This Row],[Withdrawal]])</f>
        <v>4649.79</v>
      </c>
      <c r="P110" s="376"/>
      <c r="Q110" s="457">
        <f>IF(ISBLANK(CkReg16_18151715[[#This Row],[Withdrawal]]),Q109+CkReg16_18151715[[#This Row],[Deposit]],Q109-CkReg16_18151715[[#This Row],[Withdrawal]])</f>
        <v>13364.789999999999</v>
      </c>
      <c r="R110" s="376"/>
    </row>
    <row r="111" spans="4:18" x14ac:dyDescent="0.3">
      <c r="H111" s="286"/>
      <c r="I111" s="383"/>
      <c r="J111" s="285"/>
      <c r="K111" s="285"/>
      <c r="L111" s="285"/>
      <c r="M111" s="446"/>
      <c r="N111" s="451"/>
      <c r="O111" s="451">
        <f>IF(ISBLANK(CkReg16_18151715[[#This Row],[Withdrawal]]),O110+CkReg16_18151715[[#This Row],[Deposit]],O110-CkReg16_18151715[[#This Row],[Withdrawal]])</f>
        <v>4649.79</v>
      </c>
      <c r="P111" s="376"/>
      <c r="Q111" s="457">
        <f>IF(ISBLANK(CkReg16_18151715[[#This Row],[Withdrawal]]),Q110+CkReg16_18151715[[#This Row],[Deposit]],Q110-CkReg16_18151715[[#This Row],[Withdrawal]])</f>
        <v>13364.789999999999</v>
      </c>
      <c r="R111" s="376"/>
    </row>
    <row r="112" spans="4:18" x14ac:dyDescent="0.3">
      <c r="H112" s="416"/>
      <c r="I112" s="417"/>
      <c r="J112" s="416"/>
      <c r="K112" s="416"/>
      <c r="L112" s="416"/>
      <c r="M112" s="447"/>
      <c r="N112" s="451"/>
      <c r="O112" s="451">
        <f>IF(ISBLANK(CkReg16_18151715[[#This Row],[Withdrawal]]),O111+CkReg16_18151715[[#This Row],[Deposit]],O111-CkReg16_18151715[[#This Row],[Withdrawal]])</f>
        <v>4649.79</v>
      </c>
      <c r="P112" s="376"/>
      <c r="Q112" s="457">
        <f>IF(ISBLANK(CkReg16_18151715[[#This Row],[Withdrawal]]),Q111+CkReg16_18151715[[#This Row],[Deposit]],Q111-CkReg16_18151715[[#This Row],[Withdrawal]])</f>
        <v>13364.789999999999</v>
      </c>
      <c r="R112" s="376"/>
    </row>
    <row r="113" spans="2:18" x14ac:dyDescent="0.3">
      <c r="H113" s="416"/>
      <c r="I113" s="417"/>
      <c r="J113" s="416"/>
      <c r="K113" s="416"/>
      <c r="L113" s="285"/>
      <c r="M113" s="446"/>
      <c r="N113" s="451"/>
      <c r="O113" s="451">
        <f>IF(ISBLANK(CkReg16_18151715[[#This Row],[Withdrawal]]),O112+CkReg16_18151715[[#This Row],[Deposit]],O112-CkReg16_18151715[[#This Row],[Withdrawal]])</f>
        <v>4649.79</v>
      </c>
      <c r="P113" s="376"/>
      <c r="Q113" s="457">
        <f>IF(ISBLANK(CkReg16_18151715[[#This Row],[Withdrawal]]),Q112+CkReg16_18151715[[#This Row],[Deposit]],Q112-CkReg16_18151715[[#This Row],[Withdrawal]])</f>
        <v>13364.789999999999</v>
      </c>
      <c r="R113" s="376"/>
    </row>
    <row r="114" spans="2:18" x14ac:dyDescent="0.3">
      <c r="H114" s="286"/>
      <c r="I114" s="383"/>
      <c r="J114" s="285"/>
      <c r="K114" s="285"/>
      <c r="L114" s="285"/>
      <c r="M114" s="446"/>
      <c r="N114" s="451"/>
      <c r="O114" s="451">
        <f>IF(ISBLANK(CkReg16_18151715[[#This Row],[Withdrawal]]),O113+CkReg16_18151715[[#This Row],[Deposit]],O113-CkReg16_18151715[[#This Row],[Withdrawal]])</f>
        <v>4649.79</v>
      </c>
      <c r="P114" s="376"/>
      <c r="Q114" s="457">
        <f>IF(ISBLANK(CkReg16_18151715[[#This Row],[Withdrawal]]),Q113+CkReg16_18151715[[#This Row],[Deposit]],Q113-CkReg16_18151715[[#This Row],[Withdrawal]])</f>
        <v>13364.789999999999</v>
      </c>
      <c r="R114" s="376"/>
    </row>
    <row r="115" spans="2:18" x14ac:dyDescent="0.3">
      <c r="H115" s="416"/>
      <c r="I115" s="417"/>
      <c r="J115" s="416"/>
      <c r="K115" s="416"/>
      <c r="L115" s="416"/>
      <c r="M115" s="447"/>
      <c r="N115" s="453"/>
      <c r="O115" s="451">
        <f>IF(ISBLANK(CkReg16_18151715[[#This Row],[Withdrawal]]),O114+CkReg16_18151715[[#This Row],[Deposit]],O114-CkReg16_18151715[[#This Row],[Withdrawal]])</f>
        <v>4649.79</v>
      </c>
      <c r="P115" s="376"/>
      <c r="Q115" s="457">
        <f>IF(ISBLANK(CkReg16_18151715[[#This Row],[Withdrawal]]),Q114+CkReg16_18151715[[#This Row],[Deposit]],Q114-CkReg16_18151715[[#This Row],[Withdrawal]])</f>
        <v>13364.789999999999</v>
      </c>
      <c r="R115" s="376"/>
    </row>
    <row r="116" spans="2:18" x14ac:dyDescent="0.3">
      <c r="H116" s="286"/>
      <c r="I116" s="383"/>
      <c r="J116" s="285"/>
      <c r="K116" s="285"/>
      <c r="L116" s="285"/>
      <c r="M116" s="446"/>
      <c r="N116" s="451"/>
      <c r="O116" s="451">
        <f>IF(ISBLANK(CkReg16_18151715[[#This Row],[Withdrawal]]),O115+CkReg16_18151715[[#This Row],[Deposit]],O115-CkReg16_18151715[[#This Row],[Withdrawal]])</f>
        <v>4649.79</v>
      </c>
      <c r="P116" s="376"/>
      <c r="Q116" s="457">
        <f>IF(ISBLANK(CkReg16_18151715[[#This Row],[Withdrawal]]),Q115+CkReg16_18151715[[#This Row],[Deposit]],Q115-CkReg16_18151715[[#This Row],[Withdrawal]])</f>
        <v>13364.789999999999</v>
      </c>
      <c r="R116" s="376"/>
    </row>
    <row r="117" spans="2:18" x14ac:dyDescent="0.3">
      <c r="H117" s="286"/>
      <c r="I117" s="383"/>
      <c r="J117" s="285"/>
      <c r="K117" s="285"/>
      <c r="L117" s="285"/>
      <c r="M117" s="446"/>
      <c r="N117" s="451"/>
      <c r="O117" s="451">
        <f>IF(ISBLANK(CkReg16_18151715[[#This Row],[Withdrawal]]),O116+CkReg16_18151715[[#This Row],[Deposit]],O116-CkReg16_18151715[[#This Row],[Withdrawal]])</f>
        <v>4649.79</v>
      </c>
      <c r="P117" s="376"/>
      <c r="Q117" s="457">
        <f>IF(ISBLANK(CkReg16_18151715[[#This Row],[Withdrawal]]),Q116+CkReg16_18151715[[#This Row],[Deposit]],Q116-CkReg16_18151715[[#This Row],[Withdrawal]])</f>
        <v>13364.789999999999</v>
      </c>
      <c r="R117" s="376"/>
    </row>
    <row r="118" spans="2:18" x14ac:dyDescent="0.3">
      <c r="H118" s="286"/>
      <c r="I118" s="383"/>
      <c r="J118" s="285"/>
      <c r="K118" s="285"/>
      <c r="L118" s="285"/>
      <c r="M118" s="446"/>
      <c r="N118" s="451"/>
      <c r="O118" s="451">
        <f>IF(ISBLANK(CkReg16_18151715[[#This Row],[Withdrawal]]),O117+CkReg16_18151715[[#This Row],[Deposit]],O117-CkReg16_18151715[[#This Row],[Withdrawal]])</f>
        <v>4649.79</v>
      </c>
      <c r="P118" s="376"/>
      <c r="Q118" s="457">
        <f>IF(ISBLANK(CkReg16_18151715[[#This Row],[Withdrawal]]),Q117+CkReg16_18151715[[#This Row],[Deposit]],Q117-CkReg16_18151715[[#This Row],[Withdrawal]])</f>
        <v>13364.789999999999</v>
      </c>
      <c r="R118" s="376"/>
    </row>
    <row r="119" spans="2:18" s="430" customFormat="1" x14ac:dyDescent="0.3">
      <c r="B119" s="96"/>
      <c r="C119" s="96"/>
      <c r="D119" s="96"/>
      <c r="E119" s="96"/>
      <c r="F119" s="96"/>
      <c r="G119" s="96"/>
      <c r="H119" s="285"/>
      <c r="I119" s="383"/>
      <c r="J119" s="285"/>
      <c r="K119" s="285"/>
      <c r="L119" s="285"/>
      <c r="M119" s="446"/>
      <c r="N119" s="451"/>
      <c r="O119" s="451">
        <f>IF(ISBLANK(CkReg16_18151715[[#This Row],[Withdrawal]]),O118+CkReg16_18151715[[#This Row],[Deposit]],O118-CkReg16_18151715[[#This Row],[Withdrawal]])</f>
        <v>4649.79</v>
      </c>
      <c r="P119" s="376"/>
      <c r="Q119" s="457">
        <f>IF(ISBLANK(CkReg16_18151715[[#This Row],[Withdrawal]]),Q118+CkReg16_18151715[[#This Row],[Deposit]],Q118-CkReg16_18151715[[#This Row],[Withdrawal]])</f>
        <v>13364.789999999999</v>
      </c>
      <c r="R119" s="383"/>
    </row>
    <row r="120" spans="2:18" x14ac:dyDescent="0.3">
      <c r="H120" s="285"/>
      <c r="I120" s="383"/>
      <c r="J120" s="285"/>
      <c r="K120" s="285"/>
      <c r="L120" s="285"/>
      <c r="M120" s="446"/>
      <c r="N120" s="451"/>
      <c r="O120" s="451">
        <f>IF(ISBLANK(CkReg16_18151715[[#This Row],[Withdrawal]]),O119+CkReg16_18151715[[#This Row],[Deposit]],O119-CkReg16_18151715[[#This Row],[Withdrawal]])</f>
        <v>4649.79</v>
      </c>
      <c r="P120" s="376"/>
      <c r="Q120" s="457">
        <f>IF(ISBLANK(CkReg16_18151715[[#This Row],[Withdrawal]]),Q119+CkReg16_18151715[[#This Row],[Deposit]],Q119-CkReg16_18151715[[#This Row],[Withdrawal]])</f>
        <v>13364.789999999999</v>
      </c>
      <c r="R120" s="383"/>
    </row>
    <row r="121" spans="2:18" x14ac:dyDescent="0.3">
      <c r="H121" s="286"/>
      <c r="I121" s="383"/>
      <c r="J121" s="285"/>
      <c r="K121" s="285"/>
      <c r="L121" s="285"/>
      <c r="M121" s="446"/>
      <c r="N121" s="451"/>
      <c r="O121" s="451">
        <f>IF(ISBLANK(CkReg16_18151715[[#This Row],[Withdrawal]]),O120+CkReg16_18151715[[#This Row],[Deposit]],O120-CkReg16_18151715[[#This Row],[Withdrawal]])</f>
        <v>4649.79</v>
      </c>
      <c r="P121" s="376"/>
      <c r="Q121" s="457">
        <f>IF(ISBLANK(CkReg16_18151715[[#This Row],[Withdrawal]]),Q120+CkReg16_18151715[[#This Row],[Deposit]],Q120-CkReg16_18151715[[#This Row],[Withdrawal]])</f>
        <v>13364.789999999999</v>
      </c>
      <c r="R121" s="431"/>
    </row>
    <row r="122" spans="2:18" x14ac:dyDescent="0.3">
      <c r="H122" s="286"/>
      <c r="I122" s="383"/>
      <c r="J122" s="285"/>
      <c r="K122" s="285"/>
      <c r="L122" s="285"/>
      <c r="M122" s="446"/>
      <c r="N122" s="451"/>
      <c r="O122" s="451">
        <f>IF(ISBLANK(CkReg16_18151715[[#This Row],[Withdrawal]]),O121+CkReg16_18151715[[#This Row],[Deposit]],O121-CkReg16_18151715[[#This Row],[Withdrawal]])</f>
        <v>4649.79</v>
      </c>
      <c r="P122" s="376"/>
      <c r="Q122" s="457">
        <f>IF(ISBLANK(CkReg16_18151715[[#This Row],[Withdrawal]]),Q121+CkReg16_18151715[[#This Row],[Deposit]],Q121-CkReg16_18151715[[#This Row],[Withdrawal]])</f>
        <v>13364.789999999999</v>
      </c>
      <c r="R122" s="383"/>
    </row>
    <row r="123" spans="2:18" x14ac:dyDescent="0.3">
      <c r="H123" s="285"/>
      <c r="I123" s="383"/>
      <c r="J123" s="285"/>
      <c r="K123" s="285"/>
      <c r="L123" s="285"/>
      <c r="M123" s="446"/>
      <c r="N123" s="451"/>
      <c r="O123" s="451">
        <f>IF(ISBLANK(CkReg16_18151715[[#This Row],[Withdrawal]]),O122+CkReg16_18151715[[#This Row],[Deposit]],O122-CkReg16_18151715[[#This Row],[Withdrawal]])</f>
        <v>4649.79</v>
      </c>
      <c r="P123" s="376"/>
      <c r="Q123" s="457">
        <f>IF(ISBLANK(CkReg16_18151715[[#This Row],[Withdrawal]]),Q122+CkReg16_18151715[[#This Row],[Deposit]],Q122-CkReg16_18151715[[#This Row],[Withdrawal]])</f>
        <v>13364.789999999999</v>
      </c>
      <c r="R123" s="383"/>
    </row>
    <row r="124" spans="2:18" x14ac:dyDescent="0.3">
      <c r="H124" s="285"/>
      <c r="I124" s="383"/>
      <c r="J124" s="285"/>
      <c r="K124" s="285"/>
      <c r="L124" s="285"/>
      <c r="M124" s="446"/>
      <c r="N124" s="451"/>
      <c r="O124" s="451">
        <f>IF(ISBLANK(CkReg16_18151715[[#This Row],[Withdrawal]]),O123+CkReg16_18151715[[#This Row],[Deposit]],O123-CkReg16_18151715[[#This Row],[Withdrawal]])</f>
        <v>4649.79</v>
      </c>
      <c r="P124" s="376"/>
      <c r="Q124" s="457">
        <f>IF(ISBLANK(CkReg16_18151715[[#This Row],[Withdrawal]]),Q123+CkReg16_18151715[[#This Row],[Deposit]],Q123-CkReg16_18151715[[#This Row],[Withdrawal]])</f>
        <v>13364.789999999999</v>
      </c>
      <c r="R124" s="383"/>
    </row>
    <row r="125" spans="2:18" x14ac:dyDescent="0.3">
      <c r="H125" s="285"/>
      <c r="I125" s="383"/>
      <c r="J125" s="285"/>
      <c r="K125" s="285"/>
      <c r="L125" s="285"/>
      <c r="M125" s="446"/>
      <c r="N125" s="451"/>
      <c r="O125" s="451">
        <f>IF(ISBLANK(CkReg16_18151715[[#This Row],[Withdrawal]]),O124+CkReg16_18151715[[#This Row],[Deposit]],O124-CkReg16_18151715[[#This Row],[Withdrawal]])</f>
        <v>4649.79</v>
      </c>
      <c r="P125" s="376"/>
      <c r="Q125" s="457">
        <f>IF(ISBLANK(CkReg16_18151715[[#This Row],[Withdrawal]]),Q124+CkReg16_18151715[[#This Row],[Deposit]],Q124-CkReg16_18151715[[#This Row],[Withdrawal]])</f>
        <v>13364.789999999999</v>
      </c>
      <c r="R125" s="383"/>
    </row>
    <row r="126" spans="2:18" x14ac:dyDescent="0.3">
      <c r="H126" s="285"/>
      <c r="I126" s="383"/>
      <c r="J126" s="285"/>
      <c r="K126" s="285"/>
      <c r="L126" s="285"/>
      <c r="M126" s="446"/>
      <c r="N126" s="451"/>
      <c r="O126" s="451">
        <f>IF(ISBLANK(CkReg16_18151715[[#This Row],[Withdrawal]]),O125+CkReg16_18151715[[#This Row],[Deposit]],O125-CkReg16_18151715[[#This Row],[Withdrawal]])</f>
        <v>4649.79</v>
      </c>
      <c r="P126" s="376"/>
      <c r="Q126" s="457">
        <f>IF(ISBLANK(CkReg16_18151715[[#This Row],[Withdrawal]]),Q125+CkReg16_18151715[[#This Row],[Deposit]],Q125-CkReg16_18151715[[#This Row],[Withdrawal]])</f>
        <v>13364.789999999999</v>
      </c>
      <c r="R126" s="383"/>
    </row>
    <row r="127" spans="2:18" x14ac:dyDescent="0.3">
      <c r="H127" s="285"/>
      <c r="I127" s="383"/>
      <c r="J127" s="285"/>
      <c r="K127" s="285"/>
      <c r="L127" s="285"/>
      <c r="M127" s="446"/>
      <c r="N127" s="451"/>
      <c r="O127" s="451">
        <f>IF(ISBLANK(CkReg16_18151715[[#This Row],[Withdrawal]]),O126+CkReg16_18151715[[#This Row],[Deposit]],O126-CkReg16_18151715[[#This Row],[Withdrawal]])</f>
        <v>4649.79</v>
      </c>
      <c r="P127" s="376"/>
      <c r="Q127" s="457">
        <f>IF(ISBLANK(CkReg16_18151715[[#This Row],[Withdrawal]]),Q126+CkReg16_18151715[[#This Row],[Deposit]],Q126-CkReg16_18151715[[#This Row],[Withdrawal]])</f>
        <v>13364.789999999999</v>
      </c>
      <c r="R127" s="383"/>
    </row>
    <row r="128" spans="2:18" x14ac:dyDescent="0.3">
      <c r="H128" s="285"/>
      <c r="I128" s="383"/>
      <c r="J128" s="285"/>
      <c r="K128" s="285"/>
      <c r="L128" s="285"/>
      <c r="M128" s="446"/>
      <c r="N128" s="451"/>
      <c r="O128" s="451">
        <f>IF(ISBLANK(CkReg16_18151715[[#This Row],[Withdrawal]]),O127+CkReg16_18151715[[#This Row],[Deposit]],O127-CkReg16_18151715[[#This Row],[Withdrawal]])</f>
        <v>4649.79</v>
      </c>
      <c r="P128" s="376"/>
      <c r="Q128" s="457">
        <f>IF(ISBLANK(CkReg16_18151715[[#This Row],[Withdrawal]]),Q127+CkReg16_18151715[[#This Row],[Deposit]],Q127-CkReg16_18151715[[#This Row],[Withdrawal]])</f>
        <v>13364.789999999999</v>
      </c>
      <c r="R128" s="383"/>
    </row>
    <row r="129" spans="8:18" x14ac:dyDescent="0.3">
      <c r="H129" s="285"/>
      <c r="I129" s="383"/>
      <c r="J129" s="285"/>
      <c r="K129" s="285"/>
      <c r="L129" s="285"/>
      <c r="M129" s="446"/>
      <c r="N129" s="451"/>
      <c r="O129" s="451">
        <f>IF(ISBLANK(CkReg16_18151715[[#This Row],[Withdrawal]]),O128+CkReg16_18151715[[#This Row],[Deposit]],O128-CkReg16_18151715[[#This Row],[Withdrawal]])</f>
        <v>4649.79</v>
      </c>
      <c r="P129" s="376"/>
      <c r="Q129" s="457">
        <f>IF(ISBLANK(CkReg16_18151715[[#This Row],[Withdrawal]]),Q128+CkReg16_18151715[[#This Row],[Deposit]],Q128-CkReg16_18151715[[#This Row],[Withdrawal]])</f>
        <v>13364.789999999999</v>
      </c>
      <c r="R129" s="376"/>
    </row>
    <row r="130" spans="8:18" x14ac:dyDescent="0.3">
      <c r="H130" s="285"/>
      <c r="I130" s="383"/>
      <c r="J130" s="285"/>
      <c r="K130" s="285"/>
      <c r="L130" s="285"/>
      <c r="M130" s="446"/>
      <c r="N130" s="451"/>
      <c r="O130" s="451">
        <f>IF(ISBLANK(CkReg16_18151715[[#This Row],[Withdrawal]]),O129+CkReg16_18151715[[#This Row],[Deposit]],O129-CkReg16_18151715[[#This Row],[Withdrawal]])</f>
        <v>4649.79</v>
      </c>
      <c r="P130" s="376"/>
      <c r="Q130" s="457">
        <f>IF(ISBLANK(CkReg16_18151715[[#This Row],[Withdrawal]]),Q129+CkReg16_18151715[[#This Row],[Deposit]],Q129-CkReg16_18151715[[#This Row],[Withdrawal]])</f>
        <v>13364.789999999999</v>
      </c>
      <c r="R130" s="376"/>
    </row>
    <row r="131" spans="8:18" x14ac:dyDescent="0.3">
      <c r="H131" s="285"/>
      <c r="I131" s="383"/>
      <c r="J131" s="285"/>
      <c r="K131" s="285"/>
      <c r="L131" s="285"/>
      <c r="M131" s="446"/>
      <c r="N131" s="451"/>
      <c r="O131" s="451">
        <f>IF(ISBLANK(CkReg16_18151715[[#This Row],[Withdrawal]]),O130+CkReg16_18151715[[#This Row],[Deposit]],O130-CkReg16_18151715[[#This Row],[Withdrawal]])</f>
        <v>4649.79</v>
      </c>
      <c r="P131" s="376"/>
      <c r="Q131" s="457">
        <f>IF(ISBLANK(CkReg16_18151715[[#This Row],[Withdrawal]]),Q130+CkReg16_18151715[[#This Row],[Deposit]],Q130-CkReg16_18151715[[#This Row],[Withdrawal]])</f>
        <v>13364.789999999999</v>
      </c>
      <c r="R131" s="376"/>
    </row>
    <row r="132" spans="8:18" x14ac:dyDescent="0.3">
      <c r="H132" s="286"/>
      <c r="I132" s="383"/>
      <c r="J132" s="285"/>
      <c r="K132" s="285"/>
      <c r="L132" s="285"/>
      <c r="M132" s="446"/>
      <c r="N132" s="451"/>
      <c r="O132" s="451">
        <f>IF(ISBLANK(CkReg16_18151715[[#This Row],[Withdrawal]]),O131+CkReg16_18151715[[#This Row],[Deposit]],O131-CkReg16_18151715[[#This Row],[Withdrawal]])</f>
        <v>4649.79</v>
      </c>
      <c r="P132" s="376"/>
      <c r="Q132" s="457">
        <f>IF(ISBLANK(CkReg16_18151715[[#This Row],[Withdrawal]]),Q131+CkReg16_18151715[[#This Row],[Deposit]],Q131-CkReg16_18151715[[#This Row],[Withdrawal]])</f>
        <v>13364.789999999999</v>
      </c>
      <c r="R132" s="376"/>
    </row>
    <row r="133" spans="8:18" x14ac:dyDescent="0.3">
      <c r="H133" s="286"/>
      <c r="I133" s="383"/>
      <c r="J133" s="285"/>
      <c r="K133" s="285"/>
      <c r="L133" s="285"/>
      <c r="M133" s="446"/>
      <c r="N133" s="451"/>
      <c r="O133" s="451">
        <f>IF(ISBLANK(CkReg16_18151715[[#This Row],[Withdrawal]]),O132+CkReg16_18151715[[#This Row],[Deposit]],O132-CkReg16_18151715[[#This Row],[Withdrawal]])</f>
        <v>4649.79</v>
      </c>
      <c r="P133" s="376"/>
      <c r="Q133" s="457">
        <f>IF(ISBLANK(CkReg16_18151715[[#This Row],[Withdrawal]]),Q132+CkReg16_18151715[[#This Row],[Deposit]],Q132-CkReg16_18151715[[#This Row],[Withdrawal]])</f>
        <v>13364.789999999999</v>
      </c>
      <c r="R133" s="376"/>
    </row>
    <row r="134" spans="8:18" x14ac:dyDescent="0.3">
      <c r="H134" s="286"/>
      <c r="I134" s="383"/>
      <c r="J134" s="285"/>
      <c r="K134" s="285"/>
      <c r="L134" s="285"/>
      <c r="M134" s="446"/>
      <c r="N134" s="451"/>
      <c r="O134" s="451">
        <f>IF(ISBLANK(CkReg16_18151715[[#This Row],[Withdrawal]]),O133+CkReg16_18151715[[#This Row],[Deposit]],O133-CkReg16_18151715[[#This Row],[Withdrawal]])</f>
        <v>4649.79</v>
      </c>
      <c r="P134" s="376"/>
      <c r="Q134" s="457">
        <f>IF(ISBLANK(CkReg16_18151715[[#This Row],[Withdrawal]]),Q133+CkReg16_18151715[[#This Row],[Deposit]],Q133-CkReg16_18151715[[#This Row],[Withdrawal]])</f>
        <v>13364.789999999999</v>
      </c>
      <c r="R134" s="376"/>
    </row>
    <row r="135" spans="8:18" x14ac:dyDescent="0.3">
      <c r="H135" s="286"/>
      <c r="I135" s="383"/>
      <c r="J135" s="285"/>
      <c r="K135" s="285"/>
      <c r="L135" s="285"/>
      <c r="M135" s="446"/>
      <c r="N135" s="451"/>
      <c r="O135" s="451">
        <f>IF(ISBLANK(CkReg16_18151715[[#This Row],[Withdrawal]]),O134+CkReg16_18151715[[#This Row],[Deposit]],O134-CkReg16_18151715[[#This Row],[Withdrawal]])</f>
        <v>4649.79</v>
      </c>
      <c r="P135" s="376"/>
      <c r="Q135" s="457">
        <f>IF(ISBLANK(CkReg16_18151715[[#This Row],[Withdrawal]]),Q134+CkReg16_18151715[[#This Row],[Deposit]],Q134-CkReg16_18151715[[#This Row],[Withdrawal]])</f>
        <v>13364.789999999999</v>
      </c>
      <c r="R135" s="376"/>
    </row>
    <row r="136" spans="8:18" x14ac:dyDescent="0.3">
      <c r="H136" s="286"/>
      <c r="I136" s="383"/>
      <c r="J136" s="285"/>
      <c r="K136" s="285"/>
      <c r="L136" s="285"/>
      <c r="M136" s="446"/>
      <c r="N136" s="451"/>
      <c r="O136" s="451">
        <f>IF(ISBLANK(CkReg16_18151715[[#This Row],[Withdrawal]]),O135+CkReg16_18151715[[#This Row],[Deposit]],O135-CkReg16_18151715[[#This Row],[Withdrawal]])</f>
        <v>4649.79</v>
      </c>
      <c r="P136" s="376"/>
      <c r="Q136" s="457">
        <f>IF(ISBLANK(CkReg16_18151715[[#This Row],[Withdrawal]]),Q135+CkReg16_18151715[[#This Row],[Deposit]],Q135-CkReg16_18151715[[#This Row],[Withdrawal]])</f>
        <v>13364.789999999999</v>
      </c>
      <c r="R136" s="376"/>
    </row>
    <row r="137" spans="8:18" x14ac:dyDescent="0.3">
      <c r="H137" s="286"/>
      <c r="I137" s="383"/>
      <c r="J137" s="285"/>
      <c r="K137" s="285"/>
      <c r="L137" s="285"/>
      <c r="M137" s="446"/>
      <c r="N137" s="451"/>
      <c r="O137" s="451">
        <f>IF(ISBLANK(CkReg16_18151715[[#This Row],[Withdrawal]]),O136+CkReg16_18151715[[#This Row],[Deposit]],O136-CkReg16_18151715[[#This Row],[Withdrawal]])</f>
        <v>4649.79</v>
      </c>
      <c r="P137" s="376"/>
      <c r="Q137" s="457">
        <f>IF(ISBLANK(CkReg16_18151715[[#This Row],[Withdrawal]]),Q136+CkReg16_18151715[[#This Row],[Deposit]],Q136-CkReg16_18151715[[#This Row],[Withdrawal]])</f>
        <v>13364.789999999999</v>
      </c>
      <c r="R137" s="376"/>
    </row>
    <row r="138" spans="8:18" x14ac:dyDescent="0.3">
      <c r="H138" s="286"/>
      <c r="I138" s="383"/>
      <c r="J138" s="285"/>
      <c r="K138" s="285"/>
      <c r="L138" s="285"/>
      <c r="M138" s="446"/>
      <c r="N138" s="451"/>
      <c r="O138" s="451">
        <f>IF(ISBLANK(CkReg16_18151715[[#This Row],[Withdrawal]]),O137+CkReg16_18151715[[#This Row],[Deposit]],O137-CkReg16_18151715[[#This Row],[Withdrawal]])</f>
        <v>4649.79</v>
      </c>
      <c r="P138" s="376"/>
      <c r="Q138" s="457">
        <f>IF(ISBLANK(CkReg16_18151715[[#This Row],[Withdrawal]]),Q137+CkReg16_18151715[[#This Row],[Deposit]],Q137-CkReg16_18151715[[#This Row],[Withdrawal]])</f>
        <v>13364.789999999999</v>
      </c>
      <c r="R138" s="376"/>
    </row>
    <row r="139" spans="8:18" x14ac:dyDescent="0.3">
      <c r="H139" s="286"/>
      <c r="I139" s="383"/>
      <c r="J139" s="285"/>
      <c r="K139" s="285"/>
      <c r="L139" s="285"/>
      <c r="M139" s="446"/>
      <c r="N139" s="451"/>
      <c r="O139" s="451">
        <f>IF(ISBLANK(CkReg16_18151715[[#This Row],[Withdrawal]]),O138+CkReg16_18151715[[#This Row],[Deposit]],O138-CkReg16_18151715[[#This Row],[Withdrawal]])</f>
        <v>4649.79</v>
      </c>
      <c r="P139" s="376"/>
      <c r="Q139" s="457">
        <f>IF(ISBLANK(CkReg16_18151715[[#This Row],[Withdrawal]]),Q138+CkReg16_18151715[[#This Row],[Deposit]],Q138-CkReg16_18151715[[#This Row],[Withdrawal]])</f>
        <v>13364.789999999999</v>
      </c>
      <c r="R139" s="376"/>
    </row>
    <row r="140" spans="8:18" x14ac:dyDescent="0.3">
      <c r="H140" s="286"/>
      <c r="I140" s="383"/>
      <c r="J140" s="285"/>
      <c r="K140" s="285"/>
      <c r="L140" s="285"/>
      <c r="M140" s="446"/>
      <c r="N140" s="451"/>
      <c r="O140" s="451">
        <f>IF(ISBLANK(CkReg16_18151715[[#This Row],[Withdrawal]]),O139+CkReg16_18151715[[#This Row],[Deposit]],O139-CkReg16_18151715[[#This Row],[Withdrawal]])</f>
        <v>4649.79</v>
      </c>
      <c r="P140" s="376"/>
      <c r="Q140" s="457">
        <f>IF(ISBLANK(CkReg16_18151715[[#This Row],[Withdrawal]]),Q139+CkReg16_18151715[[#This Row],[Deposit]],Q139-CkReg16_18151715[[#This Row],[Withdrawal]])</f>
        <v>13364.789999999999</v>
      </c>
      <c r="R140" s="376"/>
    </row>
    <row r="141" spans="8:18" x14ac:dyDescent="0.3">
      <c r="H141" s="286"/>
      <c r="I141" s="383"/>
      <c r="J141" s="285"/>
      <c r="K141" s="285"/>
      <c r="L141" s="285"/>
      <c r="M141" s="446"/>
      <c r="N141" s="451"/>
      <c r="O141" s="451">
        <f>IF(ISBLANK(CkReg16_18151715[[#This Row],[Withdrawal]]),O140+CkReg16_18151715[[#This Row],[Deposit]],O140-CkReg16_18151715[[#This Row],[Withdrawal]])</f>
        <v>4649.79</v>
      </c>
      <c r="P141" s="376"/>
      <c r="Q141" s="457">
        <f>IF(ISBLANK(CkReg16_18151715[[#This Row],[Withdrawal]]),Q140+CkReg16_18151715[[#This Row],[Deposit]],Q140-CkReg16_18151715[[#This Row],[Withdrawal]])</f>
        <v>13364.789999999999</v>
      </c>
      <c r="R141" s="376"/>
    </row>
    <row r="142" spans="8:18" x14ac:dyDescent="0.3">
      <c r="H142" s="286"/>
      <c r="I142" s="383"/>
      <c r="J142" s="285"/>
      <c r="K142" s="285"/>
      <c r="L142" s="285"/>
      <c r="M142" s="446"/>
      <c r="N142" s="451"/>
      <c r="O142" s="451">
        <f>IF(ISBLANK(CkReg16_18151715[[#This Row],[Withdrawal]]),O141+CkReg16_18151715[[#This Row],[Deposit]],O141-CkReg16_18151715[[#This Row],[Withdrawal]])</f>
        <v>4649.79</v>
      </c>
      <c r="P142" s="376"/>
      <c r="Q142" s="457">
        <f>IF(ISBLANK(CkReg16_18151715[[#This Row],[Withdrawal]]),Q141+CkReg16_18151715[[#This Row],[Deposit]],Q141-CkReg16_18151715[[#This Row],[Withdrawal]])</f>
        <v>13364.789999999999</v>
      </c>
      <c r="R142" s="376"/>
    </row>
    <row r="143" spans="8:18" x14ac:dyDescent="0.3">
      <c r="H143" s="286"/>
      <c r="I143" s="383"/>
      <c r="J143" s="285"/>
      <c r="K143" s="285"/>
      <c r="L143" s="285"/>
      <c r="M143" s="446"/>
      <c r="N143" s="451"/>
      <c r="O143" s="451">
        <f>IF(ISBLANK(CkReg16_18151715[[#This Row],[Withdrawal]]),O142+CkReg16_18151715[[#This Row],[Deposit]],O142-CkReg16_18151715[[#This Row],[Withdrawal]])</f>
        <v>4649.79</v>
      </c>
      <c r="P143" s="376"/>
      <c r="Q143" s="457">
        <f>IF(ISBLANK(CkReg16_18151715[[#This Row],[Withdrawal]]),Q142+CkReg16_18151715[[#This Row],[Deposit]],Q142-CkReg16_18151715[[#This Row],[Withdrawal]])</f>
        <v>13364.789999999999</v>
      </c>
      <c r="R143" s="376"/>
    </row>
    <row r="144" spans="8:18" x14ac:dyDescent="0.3">
      <c r="H144" s="286"/>
      <c r="I144" s="383"/>
      <c r="J144" s="285"/>
      <c r="K144" s="285"/>
      <c r="L144" s="285"/>
      <c r="M144" s="446"/>
      <c r="N144" s="451"/>
      <c r="O144" s="451">
        <f>IF(ISBLANK(CkReg16_18151715[[#This Row],[Withdrawal]]),O143+CkReg16_18151715[[#This Row],[Deposit]],O143-CkReg16_18151715[[#This Row],[Withdrawal]])</f>
        <v>4649.79</v>
      </c>
      <c r="P144" s="376"/>
      <c r="Q144" s="457">
        <f>IF(ISBLANK(CkReg16_18151715[[#This Row],[Withdrawal]]),Q143+CkReg16_18151715[[#This Row],[Deposit]],Q143-CkReg16_18151715[[#This Row],[Withdrawal]])</f>
        <v>13364.789999999999</v>
      </c>
      <c r="R144" s="376"/>
    </row>
    <row r="145" spans="8:18" x14ac:dyDescent="0.3">
      <c r="H145" s="286"/>
      <c r="I145" s="383"/>
      <c r="J145" s="285"/>
      <c r="K145" s="285"/>
      <c r="L145" s="285"/>
      <c r="M145" s="446"/>
      <c r="N145" s="451"/>
      <c r="O145" s="451">
        <f>IF(ISBLANK(CkReg16_18151715[[#This Row],[Withdrawal]]),O144+CkReg16_18151715[[#This Row],[Deposit]],O144-CkReg16_18151715[[#This Row],[Withdrawal]])</f>
        <v>4649.79</v>
      </c>
      <c r="P145" s="376"/>
      <c r="Q145" s="457">
        <f>IF(ISBLANK(CkReg16_18151715[[#This Row],[Withdrawal]]),Q144+CkReg16_18151715[[#This Row],[Deposit]],Q144-CkReg16_18151715[[#This Row],[Withdrawal]])</f>
        <v>13364.789999999999</v>
      </c>
      <c r="R145" s="376"/>
    </row>
    <row r="146" spans="8:18" x14ac:dyDescent="0.3">
      <c r="H146" s="286"/>
      <c r="I146" s="383"/>
      <c r="J146" s="285"/>
      <c r="K146" s="285"/>
      <c r="L146" s="285"/>
      <c r="M146" s="446"/>
      <c r="N146" s="455"/>
      <c r="O146" s="451">
        <f>IF(ISBLANK(CkReg16_18151715[[#This Row],[Withdrawal]]),O145+CkReg16_18151715[[#This Row],[Deposit]],O145-CkReg16_18151715[[#This Row],[Withdrawal]])</f>
        <v>4649.79</v>
      </c>
      <c r="P146" s="376"/>
      <c r="Q146" s="457">
        <f>IF(ISBLANK(CkReg16_18151715[[#This Row],[Withdrawal]]),Q145+CkReg16_18151715[[#This Row],[Deposit]],Q145-CkReg16_18151715[[#This Row],[Withdrawal]])</f>
        <v>13364.789999999999</v>
      </c>
      <c r="R146" s="376"/>
    </row>
    <row r="147" spans="8:18" x14ac:dyDescent="0.3">
      <c r="H147" s="286"/>
      <c r="I147" s="383"/>
      <c r="J147" s="285"/>
      <c r="K147" s="285"/>
      <c r="L147" s="285"/>
      <c r="M147" s="448"/>
      <c r="N147" s="451"/>
      <c r="O147" s="451">
        <f>IF(ISBLANK(CkReg16_18151715[[#This Row],[Withdrawal]]),O146+CkReg16_18151715[[#This Row],[Deposit]],O146-CkReg16_18151715[[#This Row],[Withdrawal]])</f>
        <v>4649.79</v>
      </c>
      <c r="P147" s="376"/>
      <c r="Q147" s="457">
        <f>IF(ISBLANK(CkReg16_18151715[[#This Row],[Withdrawal]]),Q146+CkReg16_18151715[[#This Row],[Deposit]],Q146-CkReg16_18151715[[#This Row],[Withdrawal]])</f>
        <v>13364.789999999999</v>
      </c>
      <c r="R147" s="376"/>
    </row>
    <row r="148" spans="8:18" x14ac:dyDescent="0.3">
      <c r="H148" s="286"/>
      <c r="I148" s="383"/>
      <c r="J148" s="285"/>
      <c r="K148" s="285"/>
      <c r="L148" s="285"/>
      <c r="M148" s="446"/>
      <c r="N148" s="451"/>
      <c r="O148" s="451">
        <f>IF(ISBLANK(CkReg16_18151715[[#This Row],[Withdrawal]]),O147+CkReg16_18151715[[#This Row],[Deposit]],O147-CkReg16_18151715[[#This Row],[Withdrawal]])</f>
        <v>4649.79</v>
      </c>
      <c r="P148" s="376"/>
      <c r="Q148" s="457">
        <f>IF(ISBLANK(CkReg16_18151715[[#This Row],[Withdrawal]]),Q147+CkReg16_18151715[[#This Row],[Deposit]],Q147-CkReg16_18151715[[#This Row],[Withdrawal]])</f>
        <v>13364.789999999999</v>
      </c>
      <c r="R148" s="376"/>
    </row>
    <row r="149" spans="8:18" x14ac:dyDescent="0.3">
      <c r="H149" s="286"/>
      <c r="I149" s="383"/>
      <c r="J149" s="286"/>
      <c r="K149" s="285"/>
      <c r="L149" s="285"/>
      <c r="M149" s="446"/>
      <c r="N149" s="451"/>
      <c r="O149" s="451">
        <f>IF(ISBLANK(CkReg16_18151715[[#This Row],[Withdrawal]]),O148+CkReg16_18151715[[#This Row],[Deposit]],O148-CkReg16_18151715[[#This Row],[Withdrawal]])</f>
        <v>4649.79</v>
      </c>
      <c r="P149" s="376"/>
      <c r="Q149" s="457">
        <f>IF(ISBLANK(CkReg16_18151715[[#This Row],[Withdrawal]]),Q148+CkReg16_18151715[[#This Row],[Deposit]],Q148-CkReg16_18151715[[#This Row],[Withdrawal]])</f>
        <v>13364.789999999999</v>
      </c>
      <c r="R149" s="376"/>
    </row>
    <row r="150" spans="8:18" x14ac:dyDescent="0.3">
      <c r="H150" s="286"/>
      <c r="I150" s="383"/>
      <c r="J150" s="285"/>
      <c r="K150" s="285"/>
      <c r="L150" s="285"/>
      <c r="M150" s="446"/>
      <c r="N150" s="451"/>
      <c r="O150" s="451">
        <f>IF(ISBLANK(CkReg16_18151715[[#This Row],[Withdrawal]]),O149+CkReg16_18151715[[#This Row],[Deposit]],O149-CkReg16_18151715[[#This Row],[Withdrawal]])</f>
        <v>4649.79</v>
      </c>
      <c r="P150" s="376"/>
      <c r="Q150" s="457">
        <f>IF(ISBLANK(CkReg16_18151715[[#This Row],[Withdrawal]]),Q149+CkReg16_18151715[[#This Row],[Deposit]],Q149-CkReg16_18151715[[#This Row],[Withdrawal]])</f>
        <v>13364.789999999999</v>
      </c>
      <c r="R150" s="376"/>
    </row>
    <row r="151" spans="8:18" x14ac:dyDescent="0.3">
      <c r="H151" s="286"/>
      <c r="I151" s="383"/>
      <c r="J151" s="286"/>
      <c r="K151" s="285"/>
      <c r="L151" s="285"/>
      <c r="M151" s="446"/>
      <c r="N151" s="451"/>
      <c r="O151" s="451">
        <f>IF(ISBLANK(CkReg16_18151715[[#This Row],[Withdrawal]]),O150+CkReg16_18151715[[#This Row],[Deposit]],O150-CkReg16_18151715[[#This Row],[Withdrawal]])</f>
        <v>4649.79</v>
      </c>
      <c r="P151" s="376"/>
      <c r="Q151" s="457">
        <f>IF(ISBLANK(CkReg16_18151715[[#This Row],[Withdrawal]]),Q150+CkReg16_18151715[[#This Row],[Deposit]],Q150-CkReg16_18151715[[#This Row],[Withdrawal]])</f>
        <v>13364.789999999999</v>
      </c>
      <c r="R151" s="376"/>
    </row>
    <row r="152" spans="8:18" x14ac:dyDescent="0.3">
      <c r="H152" s="286"/>
      <c r="I152" s="383"/>
      <c r="J152" s="285"/>
      <c r="K152" s="285"/>
      <c r="L152" s="285"/>
      <c r="M152" s="446"/>
      <c r="N152" s="451"/>
      <c r="O152" s="451">
        <f>IF(ISBLANK(CkReg16_18151715[[#This Row],[Withdrawal]]),O151+CkReg16_18151715[[#This Row],[Deposit]],O151-CkReg16_18151715[[#This Row],[Withdrawal]])</f>
        <v>4649.79</v>
      </c>
      <c r="P152" s="376"/>
      <c r="Q152" s="457">
        <f>IF(ISBLANK(CkReg16_18151715[[#This Row],[Withdrawal]]),Q151+CkReg16_18151715[[#This Row],[Deposit]],Q151-CkReg16_18151715[[#This Row],[Withdrawal]])</f>
        <v>13364.789999999999</v>
      </c>
      <c r="R152" s="376"/>
    </row>
    <row r="153" spans="8:18" x14ac:dyDescent="0.3">
      <c r="H153" s="286"/>
      <c r="I153" s="383"/>
      <c r="J153" s="285"/>
      <c r="K153" s="285"/>
      <c r="L153" s="285"/>
      <c r="M153" s="446"/>
      <c r="N153" s="451"/>
      <c r="O153" s="451">
        <f>IF(ISBLANK(CkReg16_18151715[[#This Row],[Withdrawal]]),O152+CkReg16_18151715[[#This Row],[Deposit]],O152-CkReg16_18151715[[#This Row],[Withdrawal]])</f>
        <v>4649.79</v>
      </c>
      <c r="P153" s="376"/>
      <c r="Q153" s="457">
        <f>IF(ISBLANK(CkReg16_18151715[[#This Row],[Withdrawal]]),Q152+CkReg16_18151715[[#This Row],[Deposit]],Q152-CkReg16_18151715[[#This Row],[Withdrawal]])</f>
        <v>13364.789999999999</v>
      </c>
      <c r="R153" s="376"/>
    </row>
    <row r="154" spans="8:18" x14ac:dyDescent="0.3">
      <c r="H154" s="286"/>
      <c r="I154" s="383"/>
      <c r="J154" s="285"/>
      <c r="K154" s="285"/>
      <c r="L154" s="285"/>
      <c r="M154" s="446"/>
      <c r="N154" s="451"/>
      <c r="O154" s="451">
        <f>IF(ISBLANK(CkReg16_18151715[[#This Row],[Withdrawal]]),O153+CkReg16_18151715[[#This Row],[Deposit]],O153-CkReg16_18151715[[#This Row],[Withdrawal]])</f>
        <v>4649.79</v>
      </c>
      <c r="P154" s="376"/>
      <c r="Q154" s="457">
        <f>IF(ISBLANK(CkReg16_18151715[[#This Row],[Withdrawal]]),Q153+CkReg16_18151715[[#This Row],[Deposit]],Q153-CkReg16_18151715[[#This Row],[Withdrawal]])</f>
        <v>13364.789999999999</v>
      </c>
      <c r="R154" s="376"/>
    </row>
    <row r="155" spans="8:18" x14ac:dyDescent="0.3">
      <c r="H155" s="286"/>
      <c r="I155" s="383"/>
      <c r="J155" s="285"/>
      <c r="K155" s="285"/>
      <c r="L155" s="285"/>
      <c r="M155" s="446"/>
      <c r="N155" s="451"/>
      <c r="O155" s="451">
        <f>IF(ISBLANK(CkReg16_18151715[[#This Row],[Withdrawal]]),O154+CkReg16_18151715[[#This Row],[Deposit]],O154-CkReg16_18151715[[#This Row],[Withdrawal]])</f>
        <v>4649.79</v>
      </c>
      <c r="P155" s="376"/>
      <c r="Q155" s="457">
        <f>IF(ISBLANK(CkReg16_18151715[[#This Row],[Withdrawal]]),Q154+CkReg16_18151715[[#This Row],[Deposit]],Q154-CkReg16_18151715[[#This Row],[Withdrawal]])</f>
        <v>13364.789999999999</v>
      </c>
      <c r="R155" s="376"/>
    </row>
    <row r="156" spans="8:18" x14ac:dyDescent="0.3">
      <c r="H156" s="286"/>
      <c r="I156" s="383"/>
      <c r="J156" s="285"/>
      <c r="K156" s="285"/>
      <c r="L156" s="285"/>
      <c r="M156" s="446"/>
      <c r="N156" s="456"/>
      <c r="O156" s="451">
        <f>IF(ISBLANK(CkReg16_18151715[[#This Row],[Withdrawal]]),O155+CkReg16_18151715[[#This Row],[Deposit]],O155-CkReg16_18151715[[#This Row],[Withdrawal]])</f>
        <v>4649.79</v>
      </c>
      <c r="P156" s="376"/>
      <c r="Q156" s="457">
        <f>IF(ISBLANK(CkReg16_18151715[[#This Row],[Withdrawal]]),Q155+CkReg16_18151715[[#This Row],[Deposit]],Q155-CkReg16_18151715[[#This Row],[Withdrawal]])</f>
        <v>13364.789999999999</v>
      </c>
      <c r="R156" s="376"/>
    </row>
    <row r="157" spans="8:18" x14ac:dyDescent="0.3">
      <c r="H157" s="286"/>
      <c r="I157" s="383"/>
      <c r="J157" s="285"/>
      <c r="K157" s="285"/>
      <c r="L157" s="285"/>
      <c r="M157" s="446"/>
      <c r="N157" s="451"/>
      <c r="O157" s="451">
        <f>IF(ISBLANK(CkReg16_18151715[[#This Row],[Withdrawal]]),O156+CkReg16_18151715[[#This Row],[Deposit]],O156-CkReg16_18151715[[#This Row],[Withdrawal]])</f>
        <v>4649.79</v>
      </c>
      <c r="P157" s="376"/>
      <c r="Q157" s="457">
        <f>IF(ISBLANK(CkReg16_18151715[[#This Row],[Withdrawal]]),Q156+CkReg16_18151715[[#This Row],[Deposit]],Q156-CkReg16_18151715[[#This Row],[Withdrawal]])</f>
        <v>13364.789999999999</v>
      </c>
      <c r="R157" s="376"/>
    </row>
    <row r="158" spans="8:18" x14ac:dyDescent="0.3">
      <c r="H158" s="286"/>
      <c r="I158" s="383"/>
      <c r="J158" s="285"/>
      <c r="K158" s="285"/>
      <c r="L158" s="285"/>
      <c r="M158" s="446"/>
      <c r="N158" s="451"/>
      <c r="O158" s="451">
        <f>IF(ISBLANK(CkReg16_18151715[[#This Row],[Withdrawal]]),O157+CkReg16_18151715[[#This Row],[Deposit]],O157-CkReg16_18151715[[#This Row],[Withdrawal]])</f>
        <v>4649.79</v>
      </c>
      <c r="P158" s="376"/>
      <c r="Q158" s="457">
        <f>IF(ISBLANK(CkReg16_18151715[[#This Row],[Withdrawal]]),Q157+CkReg16_18151715[[#This Row],[Deposit]],Q157-CkReg16_18151715[[#This Row],[Withdrawal]])</f>
        <v>13364.789999999999</v>
      </c>
      <c r="R158" s="376"/>
    </row>
    <row r="159" spans="8:18" x14ac:dyDescent="0.3">
      <c r="H159" s="286"/>
      <c r="I159" s="383"/>
      <c r="J159" s="285"/>
      <c r="K159" s="285"/>
      <c r="L159" s="285"/>
      <c r="M159" s="446"/>
      <c r="N159" s="451"/>
      <c r="O159" s="451">
        <f>IF(ISBLANK(CkReg16_18151715[[#This Row],[Withdrawal]]),O158+CkReg16_18151715[[#This Row],[Deposit]],O158-CkReg16_18151715[[#This Row],[Withdrawal]])</f>
        <v>4649.79</v>
      </c>
      <c r="P159" s="376"/>
      <c r="Q159" s="457">
        <f>IF(ISBLANK(CkReg16_18151715[[#This Row],[Withdrawal]]),Q158+CkReg16_18151715[[#This Row],[Deposit]],Q158-CkReg16_18151715[[#This Row],[Withdrawal]])</f>
        <v>13364.789999999999</v>
      </c>
      <c r="R159" s="376"/>
    </row>
    <row r="160" spans="8:18" x14ac:dyDescent="0.3">
      <c r="H160" s="286"/>
      <c r="I160" s="383"/>
      <c r="J160" s="285"/>
      <c r="K160" s="285"/>
      <c r="L160" s="285"/>
      <c r="M160" s="446"/>
      <c r="N160" s="451"/>
      <c r="O160" s="451">
        <f>IF(ISBLANK(CkReg16_18151715[[#This Row],[Withdrawal]]),O159+CkReg16_18151715[[#This Row],[Deposit]],O159-CkReg16_18151715[[#This Row],[Withdrawal]])</f>
        <v>4649.79</v>
      </c>
      <c r="P160" s="376"/>
      <c r="Q160" s="457">
        <f>IF(ISBLANK(CkReg16_18151715[[#This Row],[Withdrawal]]),Q159+CkReg16_18151715[[#This Row],[Deposit]],Q159-CkReg16_18151715[[#This Row],[Withdrawal]])</f>
        <v>13364.789999999999</v>
      </c>
      <c r="R160" s="376"/>
    </row>
    <row r="161" spans="8:18" x14ac:dyDescent="0.3">
      <c r="H161" s="286"/>
      <c r="I161" s="383"/>
      <c r="J161" s="285"/>
      <c r="K161" s="285"/>
      <c r="L161" s="285"/>
      <c r="M161" s="446"/>
      <c r="N161" s="451"/>
      <c r="O161" s="451">
        <f>IF(ISBLANK(CkReg16_18151715[[#This Row],[Withdrawal]]),O160+CkReg16_18151715[[#This Row],[Deposit]],O160-CkReg16_18151715[[#This Row],[Withdrawal]])</f>
        <v>4649.79</v>
      </c>
      <c r="P161" s="376"/>
      <c r="Q161" s="457">
        <f>IF(ISBLANK(CkReg16_18151715[[#This Row],[Withdrawal]]),Q160+CkReg16_18151715[[#This Row],[Deposit]],Q160-CkReg16_18151715[[#This Row],[Withdrawal]])</f>
        <v>13364.789999999999</v>
      </c>
      <c r="R161" s="376"/>
    </row>
    <row r="162" spans="8:18" x14ac:dyDescent="0.3">
      <c r="H162" s="286"/>
      <c r="I162" s="383"/>
      <c r="J162" s="285"/>
      <c r="K162" s="285"/>
      <c r="L162" s="285"/>
      <c r="M162" s="446"/>
      <c r="N162" s="451"/>
      <c r="O162" s="451">
        <f>IF(ISBLANK(CkReg16_18151715[[#This Row],[Withdrawal]]),O161+CkReg16_18151715[[#This Row],[Deposit]],O161-CkReg16_18151715[[#This Row],[Withdrawal]])</f>
        <v>4649.79</v>
      </c>
      <c r="P162" s="376"/>
      <c r="Q162" s="457">
        <f>IF(ISBLANK(CkReg16_18151715[[#This Row],[Withdrawal]]),Q161+CkReg16_18151715[[#This Row],[Deposit]],Q161-CkReg16_18151715[[#This Row],[Withdrawal]])</f>
        <v>13364.789999999999</v>
      </c>
      <c r="R162" s="376"/>
    </row>
    <row r="163" spans="8:18" x14ac:dyDescent="0.3">
      <c r="H163" s="286"/>
      <c r="I163" s="383"/>
      <c r="J163" s="285"/>
      <c r="K163" s="285"/>
      <c r="L163" s="285"/>
      <c r="M163" s="446"/>
      <c r="N163" s="451"/>
      <c r="O163" s="451">
        <f>IF(ISBLANK(CkReg16_18151715[[#This Row],[Withdrawal]]),O162+CkReg16_18151715[[#This Row],[Deposit]],O162-CkReg16_18151715[[#This Row],[Withdrawal]])</f>
        <v>4649.79</v>
      </c>
      <c r="P163" s="376"/>
      <c r="Q163" s="457">
        <f>IF(ISBLANK(CkReg16_18151715[[#This Row],[Withdrawal]]),Q162+CkReg16_18151715[[#This Row],[Deposit]],Q162-CkReg16_18151715[[#This Row],[Withdrawal]])</f>
        <v>13364.789999999999</v>
      </c>
      <c r="R163" s="376"/>
    </row>
    <row r="164" spans="8:18" x14ac:dyDescent="0.3">
      <c r="H164" s="286"/>
      <c r="I164" s="383"/>
      <c r="J164" s="285"/>
      <c r="K164" s="285"/>
      <c r="L164" s="285"/>
      <c r="M164" s="446"/>
      <c r="N164" s="451"/>
      <c r="O164" s="451">
        <f>IF(ISBLANK(CkReg16_18151715[[#This Row],[Withdrawal]]),O163+CkReg16_18151715[[#This Row],[Deposit]],O163-CkReg16_18151715[[#This Row],[Withdrawal]])</f>
        <v>4649.79</v>
      </c>
      <c r="P164" s="376"/>
      <c r="Q164" s="457">
        <f>IF(ISBLANK(CkReg16_18151715[[#This Row],[Withdrawal]]),Q163+CkReg16_18151715[[#This Row],[Deposit]],Q163-CkReg16_18151715[[#This Row],[Withdrawal]])</f>
        <v>13364.789999999999</v>
      </c>
      <c r="R164" s="376"/>
    </row>
    <row r="165" spans="8:18" x14ac:dyDescent="0.3">
      <c r="H165" s="286"/>
      <c r="I165" s="383"/>
      <c r="J165" s="285"/>
      <c r="K165" s="285"/>
      <c r="L165" s="285"/>
      <c r="M165" s="446"/>
      <c r="N165" s="451"/>
      <c r="O165" s="451">
        <f>IF(ISBLANK(CkReg16_18151715[[#This Row],[Withdrawal]]),O164+CkReg16_18151715[[#This Row],[Deposit]],O164-CkReg16_18151715[[#This Row],[Withdrawal]])</f>
        <v>4649.79</v>
      </c>
      <c r="P165" s="376"/>
      <c r="Q165" s="457">
        <f>IF(ISBLANK(CkReg16_18151715[[#This Row],[Withdrawal]]),Q164+CkReg16_18151715[[#This Row],[Deposit]],Q164-CkReg16_18151715[[#This Row],[Withdrawal]])</f>
        <v>13364.789999999999</v>
      </c>
      <c r="R165" s="376"/>
    </row>
    <row r="166" spans="8:18" x14ac:dyDescent="0.3">
      <c r="H166" s="286"/>
      <c r="I166" s="383"/>
      <c r="J166" s="285"/>
      <c r="K166" s="285"/>
      <c r="L166" s="285"/>
      <c r="M166" s="446"/>
      <c r="N166" s="451"/>
      <c r="O166" s="451">
        <f>IF(ISBLANK(CkReg16_18151715[[#This Row],[Withdrawal]]),O165+CkReg16_18151715[[#This Row],[Deposit]],O165-CkReg16_18151715[[#This Row],[Withdrawal]])</f>
        <v>4649.79</v>
      </c>
      <c r="P166" s="376"/>
      <c r="Q166" s="457">
        <f>IF(ISBLANK(CkReg16_18151715[[#This Row],[Withdrawal]]),Q165+CkReg16_18151715[[#This Row],[Deposit]],Q165-CkReg16_18151715[[#This Row],[Withdrawal]])</f>
        <v>13364.789999999999</v>
      </c>
      <c r="R166" s="376"/>
    </row>
    <row r="167" spans="8:18" x14ac:dyDescent="0.3">
      <c r="H167" s="286"/>
      <c r="I167" s="383"/>
      <c r="J167" s="285"/>
      <c r="K167" s="285"/>
      <c r="L167" s="285"/>
      <c r="M167" s="446"/>
      <c r="N167" s="451"/>
      <c r="O167" s="451">
        <f>IF(ISBLANK(CkReg16_18151715[[#This Row],[Withdrawal]]),O166+CkReg16_18151715[[#This Row],[Deposit]],O166-CkReg16_18151715[[#This Row],[Withdrawal]])</f>
        <v>4649.79</v>
      </c>
      <c r="P167" s="376"/>
      <c r="Q167" s="457">
        <f>IF(ISBLANK(CkReg16_18151715[[#This Row],[Withdrawal]]),Q166+CkReg16_18151715[[#This Row],[Deposit]],Q166-CkReg16_18151715[[#This Row],[Withdrawal]])</f>
        <v>13364.789999999999</v>
      </c>
      <c r="R167" s="376"/>
    </row>
    <row r="168" spans="8:18" x14ac:dyDescent="0.3">
      <c r="H168" s="286"/>
      <c r="I168" s="383"/>
      <c r="J168" s="285"/>
      <c r="K168" s="285"/>
      <c r="L168" s="285"/>
      <c r="M168" s="446"/>
      <c r="N168" s="451"/>
      <c r="O168" s="451">
        <f>IF(ISBLANK(CkReg16_18151715[[#This Row],[Withdrawal]]),O167+CkReg16_18151715[[#This Row],[Deposit]],O167-CkReg16_18151715[[#This Row],[Withdrawal]])</f>
        <v>4649.79</v>
      </c>
      <c r="P168" s="376"/>
      <c r="Q168" s="457">
        <f>IF(ISBLANK(CkReg16_18151715[[#This Row],[Withdrawal]]),Q167+CkReg16_18151715[[#This Row],[Deposit]],Q167-CkReg16_18151715[[#This Row],[Withdrawal]])</f>
        <v>13364.789999999999</v>
      </c>
      <c r="R168" s="376"/>
    </row>
    <row r="169" spans="8:18" x14ac:dyDescent="0.3">
      <c r="H169" s="286"/>
      <c r="I169" s="383"/>
      <c r="J169" s="285"/>
      <c r="K169" s="285"/>
      <c r="L169" s="285"/>
      <c r="M169" s="446"/>
      <c r="N169" s="451"/>
      <c r="O169" s="451">
        <f>IF(ISBLANK(CkReg16_18151715[[#This Row],[Withdrawal]]),O168+CkReg16_18151715[[#This Row],[Deposit]],O168-CkReg16_18151715[[#This Row],[Withdrawal]])</f>
        <v>4649.79</v>
      </c>
      <c r="P169" s="376"/>
      <c r="Q169" s="457">
        <f>IF(ISBLANK(CkReg16_18151715[[#This Row],[Withdrawal]]),Q168+CkReg16_18151715[[#This Row],[Deposit]],Q168-CkReg16_18151715[[#This Row],[Withdrawal]])</f>
        <v>13364.789999999999</v>
      </c>
      <c r="R169" s="376"/>
    </row>
    <row r="170" spans="8:18" x14ac:dyDescent="0.3">
      <c r="H170" s="286"/>
      <c r="I170" s="383"/>
      <c r="J170" s="285"/>
      <c r="K170" s="285"/>
      <c r="L170" s="285"/>
      <c r="M170" s="446"/>
      <c r="N170" s="451"/>
      <c r="O170" s="451">
        <f>IF(ISBLANK(CkReg16_18151715[[#This Row],[Withdrawal]]),O169+CkReg16_18151715[[#This Row],[Deposit]],O169-CkReg16_18151715[[#This Row],[Withdrawal]])</f>
        <v>4649.79</v>
      </c>
      <c r="P170" s="376"/>
      <c r="Q170" s="457">
        <f>IF(ISBLANK(CkReg16_18151715[[#This Row],[Withdrawal]]),Q169+CkReg16_18151715[[#This Row],[Deposit]],Q169-CkReg16_18151715[[#This Row],[Withdrawal]])</f>
        <v>13364.789999999999</v>
      </c>
      <c r="R170" s="376"/>
    </row>
    <row r="171" spans="8:18" x14ac:dyDescent="0.3">
      <c r="H171" s="286"/>
      <c r="I171" s="383"/>
      <c r="J171" s="285"/>
      <c r="K171" s="285"/>
      <c r="L171" s="285"/>
      <c r="M171" s="446"/>
      <c r="N171" s="451"/>
      <c r="O171" s="451">
        <f>IF(ISBLANK(CkReg16_18151715[[#This Row],[Withdrawal]]),O170+CkReg16_18151715[[#This Row],[Deposit]],O170-CkReg16_18151715[[#This Row],[Withdrawal]])</f>
        <v>4649.79</v>
      </c>
      <c r="P171" s="376"/>
      <c r="Q171" s="457">
        <f>IF(ISBLANK(CkReg16_18151715[[#This Row],[Withdrawal]]),Q170+CkReg16_18151715[[#This Row],[Deposit]],Q170-CkReg16_18151715[[#This Row],[Withdrawal]])</f>
        <v>13364.789999999999</v>
      </c>
      <c r="R171" s="376"/>
    </row>
    <row r="172" spans="8:18" x14ac:dyDescent="0.3">
      <c r="H172" s="286"/>
      <c r="I172" s="383"/>
      <c r="J172" s="285"/>
      <c r="K172" s="285"/>
      <c r="L172" s="285"/>
      <c r="M172" s="446"/>
      <c r="N172" s="451"/>
      <c r="O172" s="451">
        <f>IF(ISBLANK(CkReg16_18151715[[#This Row],[Withdrawal]]),O171+CkReg16_18151715[[#This Row],[Deposit]],O171-CkReg16_18151715[[#This Row],[Withdrawal]])</f>
        <v>4649.79</v>
      </c>
      <c r="P172" s="376"/>
      <c r="Q172" s="457">
        <f>IF(ISBLANK(CkReg16_18151715[[#This Row],[Withdrawal]]),Q171+CkReg16_18151715[[#This Row],[Deposit]],Q171-CkReg16_18151715[[#This Row],[Withdrawal]])</f>
        <v>13364.789999999999</v>
      </c>
      <c r="R172" s="376"/>
    </row>
    <row r="173" spans="8:18" x14ac:dyDescent="0.3">
      <c r="H173" s="286"/>
      <c r="I173" s="383"/>
      <c r="J173" s="285"/>
      <c r="K173" s="285"/>
      <c r="L173" s="285"/>
      <c r="M173" s="446"/>
      <c r="N173" s="451"/>
      <c r="O173" s="451">
        <f>IF(ISBLANK(CkReg16_18151715[[#This Row],[Withdrawal]]),O172+CkReg16_18151715[[#This Row],[Deposit]],O172-CkReg16_18151715[[#This Row],[Withdrawal]])</f>
        <v>4649.79</v>
      </c>
      <c r="P173" s="376"/>
      <c r="Q173" s="457">
        <f>IF(ISBLANK(CkReg16_18151715[[#This Row],[Withdrawal]]),Q172+CkReg16_18151715[[#This Row],[Deposit]],Q172-CkReg16_18151715[[#This Row],[Withdrawal]])</f>
        <v>13364.789999999999</v>
      </c>
      <c r="R173" s="376"/>
    </row>
    <row r="174" spans="8:18" x14ac:dyDescent="0.3">
      <c r="H174" s="286"/>
      <c r="I174" s="383"/>
      <c r="J174" s="285"/>
      <c r="K174" s="285"/>
      <c r="L174" s="285"/>
      <c r="M174" s="446"/>
      <c r="N174" s="451"/>
      <c r="O174" s="451">
        <f>IF(ISBLANK(CkReg16_18151715[[#This Row],[Withdrawal]]),O173+CkReg16_18151715[[#This Row],[Deposit]],O173-CkReg16_18151715[[#This Row],[Withdrawal]])</f>
        <v>4649.79</v>
      </c>
      <c r="P174" s="376"/>
      <c r="Q174" s="457">
        <f>IF(ISBLANK(CkReg16_18151715[[#This Row],[Withdrawal]]),Q173+CkReg16_18151715[[#This Row],[Deposit]],Q173-CkReg16_18151715[[#This Row],[Withdrawal]])</f>
        <v>13364.789999999999</v>
      </c>
      <c r="R174" s="376"/>
    </row>
    <row r="175" spans="8:18" x14ac:dyDescent="0.3">
      <c r="H175" s="286"/>
      <c r="I175" s="383"/>
      <c r="J175" s="285"/>
      <c r="K175" s="285"/>
      <c r="L175" s="285"/>
      <c r="M175" s="446"/>
      <c r="N175" s="451"/>
      <c r="O175" s="451">
        <f>IF(ISBLANK(CkReg16_18151715[[#This Row],[Withdrawal]]),O174+CkReg16_18151715[[#This Row],[Deposit]],O174-CkReg16_18151715[[#This Row],[Withdrawal]])</f>
        <v>4649.79</v>
      </c>
      <c r="P175" s="376"/>
      <c r="Q175" s="457">
        <f>IF(ISBLANK(CkReg16_18151715[[#This Row],[Withdrawal]]),Q174+CkReg16_18151715[[#This Row],[Deposit]],Q174-CkReg16_18151715[[#This Row],[Withdrawal]])</f>
        <v>13364.789999999999</v>
      </c>
      <c r="R175" s="376"/>
    </row>
    <row r="176" spans="8:18" x14ac:dyDescent="0.3">
      <c r="H176" s="286"/>
      <c r="I176" s="383"/>
      <c r="J176" s="285"/>
      <c r="K176" s="285"/>
      <c r="L176" s="285"/>
      <c r="M176" s="446"/>
      <c r="N176" s="451"/>
      <c r="O176" s="451">
        <f>IF(ISBLANK(CkReg16_18151715[[#This Row],[Withdrawal]]),O175+CkReg16_18151715[[#This Row],[Deposit]],O175-CkReg16_18151715[[#This Row],[Withdrawal]])</f>
        <v>4649.79</v>
      </c>
      <c r="P176" s="376"/>
      <c r="Q176" s="457">
        <f>IF(ISBLANK(CkReg16_18151715[[#This Row],[Withdrawal]]),Q175+CkReg16_18151715[[#This Row],[Deposit]],Q175-CkReg16_18151715[[#This Row],[Withdrawal]])</f>
        <v>13364.789999999999</v>
      </c>
      <c r="R176" s="376"/>
    </row>
    <row r="177" spans="8:18" x14ac:dyDescent="0.3">
      <c r="H177" s="286"/>
      <c r="I177" s="383"/>
      <c r="J177" s="285"/>
      <c r="K177" s="285"/>
      <c r="L177" s="285"/>
      <c r="M177" s="446"/>
      <c r="N177" s="451"/>
      <c r="O177" s="451">
        <f>IF(ISBLANK(CkReg16_18151715[[#This Row],[Withdrawal]]),O176+CkReg16_18151715[[#This Row],[Deposit]],O176-CkReg16_18151715[[#This Row],[Withdrawal]])</f>
        <v>4649.79</v>
      </c>
      <c r="P177" s="376"/>
      <c r="Q177" s="457">
        <f>IF(ISBLANK(CkReg16_18151715[[#This Row],[Withdrawal]]),Q176+CkReg16_18151715[[#This Row],[Deposit]],Q176-CkReg16_18151715[[#This Row],[Withdrawal]])</f>
        <v>13364.789999999999</v>
      </c>
      <c r="R177" s="376"/>
    </row>
    <row r="178" spans="8:18" x14ac:dyDescent="0.3">
      <c r="H178" s="286"/>
      <c r="I178" s="383"/>
      <c r="J178" s="285"/>
      <c r="K178" s="285"/>
      <c r="L178" s="285"/>
      <c r="M178" s="446"/>
      <c r="N178" s="451"/>
      <c r="O178" s="451">
        <f>IF(ISBLANK(CkReg16_18151715[[#This Row],[Withdrawal]]),O177+CkReg16_18151715[[#This Row],[Deposit]],O177-CkReg16_18151715[[#This Row],[Withdrawal]])</f>
        <v>4649.79</v>
      </c>
      <c r="P178" s="376"/>
      <c r="Q178" s="457">
        <f>IF(ISBLANK(CkReg16_18151715[[#This Row],[Withdrawal]]),Q177+CkReg16_18151715[[#This Row],[Deposit]],Q177-CkReg16_18151715[[#This Row],[Withdrawal]])</f>
        <v>13364.789999999999</v>
      </c>
      <c r="R178" s="376"/>
    </row>
    <row r="179" spans="8:18" x14ac:dyDescent="0.3">
      <c r="H179" s="286"/>
      <c r="I179" s="383"/>
      <c r="J179" s="285"/>
      <c r="K179" s="285"/>
      <c r="L179" s="285"/>
      <c r="M179" s="446"/>
      <c r="N179" s="451"/>
      <c r="O179" s="451">
        <f>IF(ISBLANK(CkReg16_18151715[[#This Row],[Withdrawal]]),O178+CkReg16_18151715[[#This Row],[Deposit]],O178-CkReg16_18151715[[#This Row],[Withdrawal]])</f>
        <v>4649.79</v>
      </c>
      <c r="P179" s="376"/>
      <c r="Q179" s="457">
        <f>IF(ISBLANK(CkReg16_18151715[[#This Row],[Withdrawal]]),Q178+CkReg16_18151715[[#This Row],[Deposit]],Q178-CkReg16_18151715[[#This Row],[Withdrawal]])</f>
        <v>13364.789999999999</v>
      </c>
      <c r="R179" s="376"/>
    </row>
    <row r="180" spans="8:18" x14ac:dyDescent="0.3">
      <c r="H180" s="286"/>
      <c r="I180" s="383"/>
      <c r="J180" s="285"/>
      <c r="K180" s="285"/>
      <c r="L180" s="285"/>
      <c r="M180" s="446"/>
      <c r="N180" s="451"/>
      <c r="O180" s="451">
        <f>IF(ISBLANK(CkReg16_18151715[[#This Row],[Withdrawal]]),O179+CkReg16_18151715[[#This Row],[Deposit]],O179-CkReg16_18151715[[#This Row],[Withdrawal]])</f>
        <v>4649.79</v>
      </c>
      <c r="P180" s="376"/>
      <c r="Q180" s="457">
        <f>IF(ISBLANK(CkReg16_18151715[[#This Row],[Withdrawal]]),Q179+CkReg16_18151715[[#This Row],[Deposit]],Q179-CkReg16_18151715[[#This Row],[Withdrawal]])</f>
        <v>13364.789999999999</v>
      </c>
      <c r="R180" s="376"/>
    </row>
    <row r="181" spans="8:18" x14ac:dyDescent="0.3">
      <c r="H181" s="286"/>
      <c r="I181" s="383"/>
      <c r="J181" s="285"/>
      <c r="K181" s="285"/>
      <c r="L181" s="285"/>
      <c r="M181" s="446"/>
      <c r="N181" s="451"/>
      <c r="O181" s="451">
        <f>IF(ISBLANK(CkReg16_18151715[[#This Row],[Withdrawal]]),O180+CkReg16_18151715[[#This Row],[Deposit]],O180-CkReg16_18151715[[#This Row],[Withdrawal]])</f>
        <v>4649.79</v>
      </c>
      <c r="P181" s="376"/>
      <c r="Q181" s="457">
        <f>IF(ISBLANK(CkReg16_18151715[[#This Row],[Withdrawal]]),Q180+CkReg16_18151715[[#This Row],[Deposit]],Q180-CkReg16_18151715[[#This Row],[Withdrawal]])</f>
        <v>13364.789999999999</v>
      </c>
      <c r="R181" s="376"/>
    </row>
    <row r="182" spans="8:18" x14ac:dyDescent="0.3">
      <c r="H182" s="286"/>
      <c r="I182" s="383"/>
      <c r="J182" s="285"/>
      <c r="K182" s="285"/>
      <c r="L182" s="285"/>
      <c r="M182" s="446"/>
      <c r="N182" s="451"/>
      <c r="O182" s="451">
        <f>IF(ISBLANK(CkReg16_18151715[[#This Row],[Withdrawal]]),O181+CkReg16_18151715[[#This Row],[Deposit]],O181-CkReg16_18151715[[#This Row],[Withdrawal]])</f>
        <v>4649.79</v>
      </c>
      <c r="P182" s="376"/>
      <c r="Q182" s="457">
        <f>IF(ISBLANK(CkReg16_18151715[[#This Row],[Withdrawal]]),Q181+CkReg16_18151715[[#This Row],[Deposit]],Q181-CkReg16_18151715[[#This Row],[Withdrawal]])</f>
        <v>13364.789999999999</v>
      </c>
      <c r="R182" s="376"/>
    </row>
    <row r="183" spans="8:18" x14ac:dyDescent="0.3">
      <c r="H183" s="286"/>
      <c r="I183" s="383"/>
      <c r="J183" s="285"/>
      <c r="K183" s="285"/>
      <c r="L183" s="285"/>
      <c r="M183" s="446"/>
      <c r="N183" s="451"/>
      <c r="O183" s="451">
        <f>IF(ISBLANK(CkReg16_18151715[[#This Row],[Withdrawal]]),O182+CkReg16_18151715[[#This Row],[Deposit]],O182-CkReg16_18151715[[#This Row],[Withdrawal]])</f>
        <v>4649.79</v>
      </c>
      <c r="P183" s="376"/>
      <c r="Q183" s="457">
        <f>IF(ISBLANK(CkReg16_18151715[[#This Row],[Withdrawal]]),Q182+CkReg16_18151715[[#This Row],[Deposit]],Q182-CkReg16_18151715[[#This Row],[Withdrawal]])</f>
        <v>13364.789999999999</v>
      </c>
      <c r="R183" s="376"/>
    </row>
    <row r="184" spans="8:18" x14ac:dyDescent="0.3">
      <c r="H184" s="286"/>
      <c r="I184" s="383"/>
      <c r="J184" s="285"/>
      <c r="K184" s="285"/>
      <c r="L184" s="285"/>
      <c r="M184" s="446"/>
      <c r="N184" s="451"/>
      <c r="O184" s="451">
        <f>IF(ISBLANK(CkReg16_18151715[[#This Row],[Withdrawal]]),O183+CkReg16_18151715[[#This Row],[Deposit]],O183-CkReg16_18151715[[#This Row],[Withdrawal]])</f>
        <v>4649.79</v>
      </c>
      <c r="P184" s="376"/>
      <c r="Q184" s="457">
        <f>IF(ISBLANK(CkReg16_18151715[[#This Row],[Withdrawal]]),Q183+CkReg16_18151715[[#This Row],[Deposit]],Q183-CkReg16_18151715[[#This Row],[Withdrawal]])</f>
        <v>13364.789999999999</v>
      </c>
      <c r="R184" s="376"/>
    </row>
    <row r="185" spans="8:18" x14ac:dyDescent="0.3">
      <c r="H185" s="286"/>
      <c r="I185" s="383"/>
      <c r="J185" s="285"/>
      <c r="K185" s="285"/>
      <c r="L185" s="285"/>
      <c r="M185" s="446"/>
      <c r="N185" s="451"/>
      <c r="O185" s="451">
        <f>IF(ISBLANK(CkReg16_18151715[[#This Row],[Withdrawal]]),O184+CkReg16_18151715[[#This Row],[Deposit]],O184-CkReg16_18151715[[#This Row],[Withdrawal]])</f>
        <v>4649.79</v>
      </c>
      <c r="P185" s="376"/>
      <c r="Q185" s="457">
        <f>IF(ISBLANK(CkReg16_18151715[[#This Row],[Withdrawal]]),Q184+CkReg16_18151715[[#This Row],[Deposit]],Q184-CkReg16_18151715[[#This Row],[Withdrawal]])</f>
        <v>13364.789999999999</v>
      </c>
      <c r="R185" s="376"/>
    </row>
    <row r="186" spans="8:18" x14ac:dyDescent="0.3">
      <c r="H186" s="286"/>
      <c r="I186" s="383"/>
      <c r="J186" s="285"/>
      <c r="K186" s="285"/>
      <c r="L186" s="285"/>
      <c r="M186" s="446"/>
      <c r="N186" s="451"/>
      <c r="O186" s="451">
        <f>IF(ISBLANK(CkReg16_18151715[[#This Row],[Withdrawal]]),O185+CkReg16_18151715[[#This Row],[Deposit]],O185-CkReg16_18151715[[#This Row],[Withdrawal]])</f>
        <v>4649.79</v>
      </c>
      <c r="P186" s="376"/>
      <c r="Q186" s="457">
        <f>IF(ISBLANK(CkReg16_18151715[[#This Row],[Withdrawal]]),Q185+CkReg16_18151715[[#This Row],[Deposit]],Q185-CkReg16_18151715[[#This Row],[Withdrawal]])</f>
        <v>13364.789999999999</v>
      </c>
      <c r="R186" s="376"/>
    </row>
    <row r="187" spans="8:18" x14ac:dyDescent="0.3">
      <c r="H187" s="286"/>
      <c r="I187" s="383"/>
      <c r="J187" s="285"/>
      <c r="K187" s="285"/>
      <c r="L187" s="285"/>
      <c r="M187" s="446"/>
      <c r="N187" s="451"/>
      <c r="O187" s="451">
        <f>IF(ISBLANK(CkReg16_18151715[[#This Row],[Withdrawal]]),O186+CkReg16_18151715[[#This Row],[Deposit]],O186-CkReg16_18151715[[#This Row],[Withdrawal]])</f>
        <v>4649.79</v>
      </c>
      <c r="P187" s="376"/>
      <c r="Q187" s="457">
        <f>IF(ISBLANK(CkReg16_18151715[[#This Row],[Withdrawal]]),Q186+CkReg16_18151715[[#This Row],[Deposit]],Q186-CkReg16_18151715[[#This Row],[Withdrawal]])</f>
        <v>13364.789999999999</v>
      </c>
      <c r="R187" s="376"/>
    </row>
    <row r="188" spans="8:18" x14ac:dyDescent="0.3">
      <c r="H188" s="286"/>
      <c r="I188" s="383"/>
      <c r="J188" s="285"/>
      <c r="K188" s="285"/>
      <c r="L188" s="285"/>
      <c r="M188" s="446"/>
      <c r="N188" s="451"/>
      <c r="O188" s="451">
        <f>IF(ISBLANK(CkReg16_18151715[[#This Row],[Withdrawal]]),O187+CkReg16_18151715[[#This Row],[Deposit]],O187-CkReg16_18151715[[#This Row],[Withdrawal]])</f>
        <v>4649.79</v>
      </c>
      <c r="P188" s="376"/>
      <c r="Q188" s="457">
        <f>IF(ISBLANK(CkReg16_18151715[[#This Row],[Withdrawal]]),Q187+CkReg16_18151715[[#This Row],[Deposit]],Q187-CkReg16_18151715[[#This Row],[Withdrawal]])</f>
        <v>13364.789999999999</v>
      </c>
      <c r="R188" s="376"/>
    </row>
    <row r="189" spans="8:18" x14ac:dyDescent="0.3">
      <c r="H189" s="286"/>
      <c r="I189" s="383"/>
      <c r="J189" s="285"/>
      <c r="K189" s="285"/>
      <c r="L189" s="285"/>
      <c r="M189" s="446"/>
      <c r="N189" s="451"/>
      <c r="O189" s="451">
        <f>IF(ISBLANK(CkReg16_18151715[[#This Row],[Withdrawal]]),O188+CkReg16_18151715[[#This Row],[Deposit]],O188-CkReg16_18151715[[#This Row],[Withdrawal]])</f>
        <v>4649.79</v>
      </c>
      <c r="P189" s="376"/>
      <c r="Q189" s="457">
        <f>IF(ISBLANK(CkReg16_18151715[[#This Row],[Withdrawal]]),Q188+CkReg16_18151715[[#This Row],[Deposit]],Q188-CkReg16_18151715[[#This Row],[Withdrawal]])</f>
        <v>13364.789999999999</v>
      </c>
      <c r="R189" s="376"/>
    </row>
    <row r="190" spans="8:18" x14ac:dyDescent="0.3">
      <c r="H190" s="286"/>
      <c r="I190" s="383"/>
      <c r="J190" s="285"/>
      <c r="K190" s="285"/>
      <c r="L190" s="285"/>
      <c r="M190" s="446"/>
      <c r="N190" s="451"/>
      <c r="O190" s="451">
        <f>IF(ISBLANK(CkReg16_18151715[[#This Row],[Withdrawal]]),O189+CkReg16_18151715[[#This Row],[Deposit]],O189-CkReg16_18151715[[#This Row],[Withdrawal]])</f>
        <v>4649.79</v>
      </c>
      <c r="P190" s="376"/>
      <c r="Q190" s="457">
        <f>IF(ISBLANK(CkReg16_18151715[[#This Row],[Withdrawal]]),Q189+CkReg16_18151715[[#This Row],[Deposit]],Q189-CkReg16_18151715[[#This Row],[Withdrawal]])</f>
        <v>13364.789999999999</v>
      </c>
      <c r="R190" s="376"/>
    </row>
    <row r="191" spans="8:18" x14ac:dyDescent="0.3">
      <c r="H191" s="286"/>
      <c r="I191" s="383"/>
      <c r="J191" s="285"/>
      <c r="K191" s="285"/>
      <c r="L191" s="285"/>
      <c r="M191" s="446"/>
      <c r="N191" s="451"/>
      <c r="O191" s="451">
        <f>IF(ISBLANK(CkReg16_18151715[[#This Row],[Withdrawal]]),O190+CkReg16_18151715[[#This Row],[Deposit]],O190-CkReg16_18151715[[#This Row],[Withdrawal]])</f>
        <v>4649.79</v>
      </c>
      <c r="P191" s="376"/>
      <c r="Q191" s="457">
        <f>IF(ISBLANK(CkReg16_18151715[[#This Row],[Withdrawal]]),Q190+CkReg16_18151715[[#This Row],[Deposit]],Q190-CkReg16_18151715[[#This Row],[Withdrawal]])</f>
        <v>13364.789999999999</v>
      </c>
      <c r="R191" s="376"/>
    </row>
    <row r="192" spans="8:18" x14ac:dyDescent="0.3">
      <c r="H192" s="286"/>
      <c r="I192" s="383"/>
      <c r="J192" s="285"/>
      <c r="K192" s="285"/>
      <c r="L192" s="285"/>
      <c r="M192" s="446"/>
      <c r="N192" s="451"/>
      <c r="O192" s="451">
        <f>IF(ISBLANK(CkReg16_18151715[[#This Row],[Withdrawal]]),O191+CkReg16_18151715[[#This Row],[Deposit]],O191-CkReg16_18151715[[#This Row],[Withdrawal]])</f>
        <v>4649.79</v>
      </c>
      <c r="P192" s="376"/>
      <c r="Q192" s="457">
        <f>IF(ISBLANK(CkReg16_18151715[[#This Row],[Withdrawal]]),Q191+CkReg16_18151715[[#This Row],[Deposit]],Q191-CkReg16_18151715[[#This Row],[Withdrawal]])</f>
        <v>13364.789999999999</v>
      </c>
      <c r="R192" s="376"/>
    </row>
    <row r="193" spans="8:18" x14ac:dyDescent="0.3">
      <c r="H193" s="286"/>
      <c r="I193" s="383"/>
      <c r="J193" s="285"/>
      <c r="K193" s="285"/>
      <c r="L193" s="285"/>
      <c r="M193" s="446"/>
      <c r="N193" s="451"/>
      <c r="O193" s="451">
        <f>IF(ISBLANK(CkReg16_18151715[[#This Row],[Withdrawal]]),O192+CkReg16_18151715[[#This Row],[Deposit]],O192-CkReg16_18151715[[#This Row],[Withdrawal]])</f>
        <v>4649.79</v>
      </c>
      <c r="P193" s="376"/>
      <c r="Q193" s="457">
        <f>IF(ISBLANK(CkReg16_18151715[[#This Row],[Withdrawal]]),Q192+CkReg16_18151715[[#This Row],[Deposit]],Q192-CkReg16_18151715[[#This Row],[Withdrawal]])</f>
        <v>13364.789999999999</v>
      </c>
      <c r="R193" s="376"/>
    </row>
    <row r="194" spans="8:18" x14ac:dyDescent="0.3">
      <c r="H194" s="286"/>
      <c r="I194" s="383"/>
      <c r="J194" s="285"/>
      <c r="K194" s="285"/>
      <c r="L194" s="285"/>
      <c r="M194" s="446"/>
      <c r="N194" s="451"/>
      <c r="O194" s="451">
        <f>IF(ISBLANK(CkReg16_18151715[[#This Row],[Withdrawal]]),O193+CkReg16_18151715[[#This Row],[Deposit]],O193-CkReg16_18151715[[#This Row],[Withdrawal]])</f>
        <v>4649.79</v>
      </c>
      <c r="P194" s="376"/>
      <c r="Q194" s="457">
        <f>IF(ISBLANK(CkReg16_18151715[[#This Row],[Withdrawal]]),Q193+CkReg16_18151715[[#This Row],[Deposit]],Q193-CkReg16_18151715[[#This Row],[Withdrawal]])</f>
        <v>13364.789999999999</v>
      </c>
      <c r="R194" s="376"/>
    </row>
    <row r="195" spans="8:18" x14ac:dyDescent="0.3">
      <c r="H195" s="286"/>
      <c r="I195" s="383"/>
      <c r="J195" s="285"/>
      <c r="K195" s="285"/>
      <c r="L195" s="285"/>
      <c r="M195" s="449"/>
      <c r="N195" s="451"/>
      <c r="O195" s="451">
        <f>IF(ISBLANK(CkReg16_18151715[[#This Row],[Withdrawal]]),O194+CkReg16_18151715[[#This Row],[Deposit]],O194-CkReg16_18151715[[#This Row],[Withdrawal]])</f>
        <v>4649.79</v>
      </c>
      <c r="P195" s="376"/>
      <c r="Q195" s="457">
        <f>IF(ISBLANK(CkReg16_18151715[[#This Row],[Withdrawal]]),Q194+CkReg16_18151715[[#This Row],[Deposit]],Q194-CkReg16_18151715[[#This Row],[Withdrawal]])</f>
        <v>13364.789999999999</v>
      </c>
      <c r="R195" s="376"/>
    </row>
    <row r="196" spans="8:18" x14ac:dyDescent="0.3">
      <c r="H196" s="286"/>
      <c r="I196" s="383"/>
      <c r="J196" s="285"/>
      <c r="K196" s="285"/>
      <c r="L196" s="285"/>
      <c r="M196" s="446"/>
      <c r="N196" s="451"/>
      <c r="O196" s="451">
        <f>IF(ISBLANK(CkReg16_18151715[[#This Row],[Withdrawal]]),O195+CkReg16_18151715[[#This Row],[Deposit]],O195-CkReg16_18151715[[#This Row],[Withdrawal]])</f>
        <v>4649.79</v>
      </c>
      <c r="P196" s="376"/>
      <c r="Q196" s="457">
        <f>IF(ISBLANK(CkReg16_18151715[[#This Row],[Withdrawal]]),Q195+CkReg16_18151715[[#This Row],[Deposit]],Q195-CkReg16_18151715[[#This Row],[Withdrawal]])</f>
        <v>13364.789999999999</v>
      </c>
      <c r="R196" s="376"/>
    </row>
    <row r="197" spans="8:18" x14ac:dyDescent="0.3">
      <c r="H197" s="286"/>
      <c r="I197" s="383"/>
      <c r="J197" s="285"/>
      <c r="K197" s="285"/>
      <c r="L197" s="285"/>
      <c r="M197" s="446"/>
      <c r="N197" s="451"/>
      <c r="O197" s="451">
        <f>IF(ISBLANK(CkReg16_18151715[[#This Row],[Withdrawal]]),O196+CkReg16_18151715[[#This Row],[Deposit]],O196-CkReg16_18151715[[#This Row],[Withdrawal]])</f>
        <v>4649.79</v>
      </c>
      <c r="P197" s="376"/>
      <c r="Q197" s="457">
        <f>IF(ISBLANK(CkReg16_18151715[[#This Row],[Withdrawal]]),Q196+CkReg16_18151715[[#This Row],[Deposit]],Q196-CkReg16_18151715[[#This Row],[Withdrawal]])</f>
        <v>13364.789999999999</v>
      </c>
      <c r="R197" s="376"/>
    </row>
    <row r="198" spans="8:18" x14ac:dyDescent="0.3">
      <c r="H198" s="286"/>
      <c r="I198" s="383"/>
      <c r="J198" s="285"/>
      <c r="K198" s="285"/>
      <c r="L198" s="285"/>
      <c r="M198" s="446"/>
      <c r="N198" s="451"/>
      <c r="O198" s="451">
        <f>IF(ISBLANK(CkReg16_18151715[[#This Row],[Withdrawal]]),O197+CkReg16_18151715[[#This Row],[Deposit]],O197-CkReg16_18151715[[#This Row],[Withdrawal]])</f>
        <v>4649.79</v>
      </c>
      <c r="P198" s="376"/>
      <c r="Q198" s="457">
        <f>IF(ISBLANK(CkReg16_18151715[[#This Row],[Withdrawal]]),Q197+CkReg16_18151715[[#This Row],[Deposit]],Q197-CkReg16_18151715[[#This Row],[Withdrawal]])</f>
        <v>13364.789999999999</v>
      </c>
      <c r="R198" s="376"/>
    </row>
    <row r="199" spans="8:18" x14ac:dyDescent="0.3">
      <c r="H199" s="286"/>
      <c r="I199" s="383"/>
      <c r="J199" s="285"/>
      <c r="K199" s="285"/>
      <c r="L199" s="285"/>
      <c r="M199" s="446"/>
      <c r="N199" s="451"/>
      <c r="O199" s="451">
        <f>IF(ISBLANK(CkReg16_18151715[[#This Row],[Withdrawal]]),O198+CkReg16_18151715[[#This Row],[Deposit]],O198-CkReg16_18151715[[#This Row],[Withdrawal]])</f>
        <v>4649.79</v>
      </c>
      <c r="P199" s="376"/>
      <c r="Q199" s="457">
        <f>IF(ISBLANK(CkReg16_18151715[[#This Row],[Withdrawal]]),Q198+CkReg16_18151715[[#This Row],[Deposit]],Q198-CkReg16_18151715[[#This Row],[Withdrawal]])</f>
        <v>13364.789999999999</v>
      </c>
      <c r="R199" s="376"/>
    </row>
    <row r="200" spans="8:18" x14ac:dyDescent="0.3">
      <c r="H200" s="398"/>
      <c r="I200" s="383"/>
      <c r="J200" s="285"/>
      <c r="K200" s="285"/>
      <c r="L200" s="285"/>
      <c r="M200" s="446"/>
      <c r="N200" s="451"/>
      <c r="O200" s="451">
        <f>IF(ISBLANK(CkReg16_18151715[[#This Row],[Withdrawal]]),O199+CkReg16_18151715[[#This Row],[Deposit]],O199-CkReg16_18151715[[#This Row],[Withdrawal]])</f>
        <v>4649.79</v>
      </c>
      <c r="P200" s="376"/>
      <c r="Q200" s="457">
        <f>IF(ISBLANK(CkReg16_18151715[[#This Row],[Withdrawal]]),Q199+CkReg16_18151715[[#This Row],[Deposit]],Q199-CkReg16_18151715[[#This Row],[Withdrawal]])</f>
        <v>13364.789999999999</v>
      </c>
      <c r="R200" s="376"/>
    </row>
    <row r="201" spans="8:18" x14ac:dyDescent="0.3">
      <c r="H201" s="398"/>
      <c r="I201" s="383"/>
      <c r="J201" s="285"/>
      <c r="K201" s="285"/>
      <c r="L201" s="285"/>
      <c r="M201" s="446"/>
      <c r="N201" s="451"/>
      <c r="O201" s="451">
        <f>IF(ISBLANK(CkReg16_18151715[[#This Row],[Withdrawal]]),O200+CkReg16_18151715[[#This Row],[Deposit]],O200-CkReg16_18151715[[#This Row],[Withdrawal]])</f>
        <v>4649.79</v>
      </c>
      <c r="P201" s="376"/>
      <c r="Q201" s="457">
        <f>IF(ISBLANK(CkReg16_18151715[[#This Row],[Withdrawal]]),Q200+CkReg16_18151715[[#This Row],[Deposit]],Q200-CkReg16_18151715[[#This Row],[Withdrawal]])</f>
        <v>13364.789999999999</v>
      </c>
      <c r="R201" s="376"/>
    </row>
    <row r="202" spans="8:18" x14ac:dyDescent="0.3">
      <c r="H202" s="286"/>
      <c r="I202" s="383"/>
      <c r="J202" s="285"/>
      <c r="K202" s="285"/>
      <c r="L202" s="285"/>
      <c r="M202" s="446"/>
      <c r="N202" s="451"/>
      <c r="O202" s="451">
        <f>IF(ISBLANK(CkReg16_18151715[[#This Row],[Withdrawal]]),O201+CkReg16_18151715[[#This Row],[Deposit]],O201-CkReg16_18151715[[#This Row],[Withdrawal]])</f>
        <v>4649.79</v>
      </c>
      <c r="P202" s="376"/>
      <c r="Q202" s="457">
        <f>IF(ISBLANK(CkReg16_18151715[[#This Row],[Withdrawal]]),Q201+CkReg16_18151715[[#This Row],[Deposit]],Q201-CkReg16_18151715[[#This Row],[Withdrawal]])</f>
        <v>13364.789999999999</v>
      </c>
      <c r="R202" s="376"/>
    </row>
    <row r="203" spans="8:18" x14ac:dyDescent="0.3">
      <c r="H203" s="286"/>
      <c r="I203" s="383"/>
      <c r="J203" s="285"/>
      <c r="K203" s="285"/>
      <c r="L203" s="285"/>
      <c r="M203" s="446"/>
      <c r="N203" s="451"/>
      <c r="O203" s="451">
        <f>IF(ISBLANK(CkReg16_18151715[[#This Row],[Withdrawal]]),O202+CkReg16_18151715[[#This Row],[Deposit]],O202-CkReg16_18151715[[#This Row],[Withdrawal]])</f>
        <v>4649.79</v>
      </c>
      <c r="P203" s="376"/>
      <c r="Q203" s="457">
        <f>IF(ISBLANK(CkReg16_18151715[[#This Row],[Withdrawal]]),Q202+CkReg16_18151715[[#This Row],[Deposit]],Q202-CkReg16_18151715[[#This Row],[Withdrawal]])</f>
        <v>13364.789999999999</v>
      </c>
      <c r="R203" s="376"/>
    </row>
    <row r="204" spans="8:18" x14ac:dyDescent="0.3">
      <c r="H204" s="286"/>
      <c r="I204" s="383"/>
      <c r="J204" s="285"/>
      <c r="K204" s="285"/>
      <c r="L204" s="285"/>
      <c r="M204" s="446"/>
      <c r="N204" s="451"/>
      <c r="O204" s="451">
        <f>IF(ISBLANK(CkReg16_18151715[[#This Row],[Withdrawal]]),O203+CkReg16_18151715[[#This Row],[Deposit]],O203-CkReg16_18151715[[#This Row],[Withdrawal]])</f>
        <v>4649.79</v>
      </c>
      <c r="P204" s="376"/>
      <c r="Q204" s="457">
        <f>IF(ISBLANK(CkReg16_18151715[[#This Row],[Withdrawal]]),Q203+CkReg16_18151715[[#This Row],[Deposit]],Q203-CkReg16_18151715[[#This Row],[Withdrawal]])</f>
        <v>13364.789999999999</v>
      </c>
      <c r="R204" s="376"/>
    </row>
    <row r="205" spans="8:18" x14ac:dyDescent="0.3">
      <c r="H205" s="286"/>
      <c r="I205" s="383"/>
      <c r="J205" s="285"/>
      <c r="K205" s="285"/>
      <c r="L205" s="285"/>
      <c r="M205" s="446"/>
      <c r="N205" s="451"/>
      <c r="O205" s="451">
        <f>IF(ISBLANK(CkReg16_18151715[[#This Row],[Withdrawal]]),O204+CkReg16_18151715[[#This Row],[Deposit]],O204-CkReg16_18151715[[#This Row],[Withdrawal]])</f>
        <v>4649.79</v>
      </c>
      <c r="P205" s="376"/>
      <c r="Q205" s="457">
        <f>IF(ISBLANK(CkReg16_18151715[[#This Row],[Withdrawal]]),Q204+CkReg16_18151715[[#This Row],[Deposit]],Q204-CkReg16_18151715[[#This Row],[Withdrawal]])</f>
        <v>13364.789999999999</v>
      </c>
      <c r="R205" s="376"/>
    </row>
    <row r="206" spans="8:18" x14ac:dyDescent="0.3">
      <c r="H206" s="286"/>
      <c r="I206" s="383"/>
      <c r="J206" s="285"/>
      <c r="K206" s="285"/>
      <c r="L206" s="285"/>
      <c r="M206" s="446"/>
      <c r="N206" s="451"/>
      <c r="O206" s="451">
        <f>IF(ISBLANK(CkReg16_18151715[[#This Row],[Withdrawal]]),O205+CkReg16_18151715[[#This Row],[Deposit]],O205-CkReg16_18151715[[#This Row],[Withdrawal]])</f>
        <v>4649.79</v>
      </c>
      <c r="P206" s="376"/>
      <c r="Q206" s="457">
        <f>IF(ISBLANK(CkReg16_18151715[[#This Row],[Withdrawal]]),Q205+CkReg16_18151715[[#This Row],[Deposit]],Q205-CkReg16_18151715[[#This Row],[Withdrawal]])</f>
        <v>13364.789999999999</v>
      </c>
      <c r="R206" s="376"/>
    </row>
    <row r="207" spans="8:18" x14ac:dyDescent="0.3">
      <c r="H207" s="389"/>
      <c r="I207" s="442"/>
      <c r="J207" s="238"/>
      <c r="K207" s="238"/>
      <c r="L207" s="238"/>
      <c r="M207" s="275">
        <f>SUBTOTAL(109,CkReg16_18151715[Withdrawal])</f>
        <v>10211.14</v>
      </c>
      <c r="N207" s="275">
        <f>SUBTOTAL(109,CkReg16_18151715[Deposit])</f>
        <v>14860.929999999998</v>
      </c>
      <c r="O207" s="275">
        <f>CkReg16_18151715[[#Totals],[Deposit]]-CkReg16_18151715[[#Totals],[Withdrawal]]</f>
        <v>4649.7899999999991</v>
      </c>
      <c r="P207" s="439"/>
      <c r="Q207" s="393"/>
      <c r="R207" s="439"/>
    </row>
    <row r="208" spans="8:18" x14ac:dyDescent="0.3">
      <c r="M208" s="99"/>
    </row>
    <row r="209" spans="13:18" x14ac:dyDescent="0.3">
      <c r="M209" s="100"/>
    </row>
    <row r="210" spans="13:18" x14ac:dyDescent="0.3">
      <c r="M210" s="100"/>
    </row>
    <row r="211" spans="13:18" x14ac:dyDescent="0.3">
      <c r="M211" s="100"/>
      <c r="P211" s="441"/>
    </row>
    <row r="212" spans="13:18" x14ac:dyDescent="0.3">
      <c r="P212" s="441"/>
    </row>
    <row r="213" spans="13:18" x14ac:dyDescent="0.3">
      <c r="P213" s="441"/>
      <c r="R213" s="441"/>
    </row>
    <row r="214" spans="13:18" x14ac:dyDescent="0.3">
      <c r="P214" s="441"/>
      <c r="R214" s="441"/>
    </row>
    <row r="215" spans="13:18" x14ac:dyDescent="0.3">
      <c r="P215" s="441"/>
    </row>
    <row r="216" spans="13:18" x14ac:dyDescent="0.3">
      <c r="P216" s="441"/>
    </row>
    <row r="217" spans="13:18" x14ac:dyDescent="0.3">
      <c r="P217" s="441"/>
    </row>
    <row r="218" spans="13:18" x14ac:dyDescent="0.3">
      <c r="P218" s="441"/>
    </row>
    <row r="219" spans="13:18" x14ac:dyDescent="0.3">
      <c r="P219" s="441"/>
    </row>
    <row r="220" spans="13:18" x14ac:dyDescent="0.3">
      <c r="P220" s="441"/>
    </row>
    <row r="221" spans="13:18" x14ac:dyDescent="0.3">
      <c r="P221" s="441"/>
    </row>
    <row r="497" spans="8:13" x14ac:dyDescent="0.3">
      <c r="H497" s="96"/>
      <c r="J497" s="96"/>
      <c r="K497" s="96"/>
      <c r="L497" s="96"/>
      <c r="M497" s="96"/>
    </row>
  </sheetData>
  <mergeCells count="1">
    <mergeCell ref="B74:F80"/>
  </mergeCells>
  <phoneticPr fontId="69" type="noConversion"/>
  <conditionalFormatting sqref="O4:O206 N3:N45">
    <cfRule type="expression" dxfId="109" priority="50">
      <formula>N3&lt;0</formula>
    </cfRule>
  </conditionalFormatting>
  <conditionalFormatting sqref="C70:E70 F62:F64 F66:F70 F18:F60">
    <cfRule type="cellIs" dxfId="108" priority="49" operator="lessThan">
      <formula>0</formula>
    </cfRule>
  </conditionalFormatting>
  <conditionalFormatting sqref="N28">
    <cfRule type="expression" dxfId="107" priority="46">
      <formula>N28&lt;0</formula>
    </cfRule>
  </conditionalFormatting>
  <conditionalFormatting sqref="N51:N53">
    <cfRule type="expression" dxfId="106" priority="45">
      <formula>N51&lt;0</formula>
    </cfRule>
  </conditionalFormatting>
  <conditionalFormatting sqref="F61">
    <cfRule type="cellIs" dxfId="105" priority="43" operator="lessThan">
      <formula>0</formula>
    </cfRule>
  </conditionalFormatting>
  <conditionalFormatting sqref="F65">
    <cfRule type="cellIs" dxfId="104" priority="42" operator="lessThan">
      <formula>0</formula>
    </cfRule>
  </conditionalFormatting>
  <conditionalFormatting sqref="N35">
    <cfRule type="expression" dxfId="103" priority="41">
      <formula>N35&lt;0</formula>
    </cfRule>
  </conditionalFormatting>
  <conditionalFormatting sqref="N16:N19">
    <cfRule type="expression" dxfId="102" priority="40">
      <formula>N16&lt;0</formula>
    </cfRule>
  </conditionalFormatting>
  <conditionalFormatting sqref="N7">
    <cfRule type="expression" dxfId="101" priority="39">
      <formula>N7&lt;0</formula>
    </cfRule>
  </conditionalFormatting>
  <conditionalFormatting sqref="N7">
    <cfRule type="expression" dxfId="100" priority="38">
      <formula>N7&lt;0</formula>
    </cfRule>
  </conditionalFormatting>
  <conditionalFormatting sqref="N27">
    <cfRule type="expression" dxfId="99" priority="37">
      <formula>N27&lt;0</formula>
    </cfRule>
  </conditionalFormatting>
  <conditionalFormatting sqref="N34">
    <cfRule type="expression" dxfId="98" priority="36">
      <formula>N34&lt;0</formula>
    </cfRule>
  </conditionalFormatting>
  <conditionalFormatting sqref="N21">
    <cfRule type="expression" dxfId="97" priority="15">
      <formula>N21&lt;0</formula>
    </cfRule>
  </conditionalFormatting>
  <conditionalFormatting sqref="N28">
    <cfRule type="expression" dxfId="96" priority="14">
      <formula>N28&lt;0</formula>
    </cfRule>
  </conditionalFormatting>
  <conditionalFormatting sqref="O3">
    <cfRule type="expression" dxfId="95" priority="13">
      <formula>O3&lt;0</formula>
    </cfRule>
  </conditionalFormatting>
  <conditionalFormatting sqref="N8">
    <cfRule type="expression" dxfId="94" priority="32">
      <formula>N8&lt;0</formula>
    </cfRule>
  </conditionalFormatting>
  <conditionalFormatting sqref="N8">
    <cfRule type="expression" dxfId="93" priority="31">
      <formula>N8&lt;0</formula>
    </cfRule>
  </conditionalFormatting>
  <conditionalFormatting sqref="N27">
    <cfRule type="expression" dxfId="92" priority="30">
      <formula>N27&lt;0</formula>
    </cfRule>
  </conditionalFormatting>
  <conditionalFormatting sqref="N34">
    <cfRule type="expression" dxfId="91" priority="29">
      <formula>N34&lt;0</formula>
    </cfRule>
  </conditionalFormatting>
  <conditionalFormatting sqref="N26">
    <cfRule type="expression" dxfId="90" priority="28">
      <formula>N26&lt;0</formula>
    </cfRule>
  </conditionalFormatting>
  <conditionalFormatting sqref="N33">
    <cfRule type="expression" dxfId="89" priority="27">
      <formula>N33&lt;0</formula>
    </cfRule>
  </conditionalFormatting>
  <conditionalFormatting sqref="N23">
    <cfRule type="expression" dxfId="88" priority="26">
      <formula>N23&lt;0</formula>
    </cfRule>
  </conditionalFormatting>
  <conditionalFormatting sqref="N46:N48">
    <cfRule type="expression" dxfId="87" priority="25">
      <formula>N46&lt;0</formula>
    </cfRule>
  </conditionalFormatting>
  <conditionalFormatting sqref="N5:N7">
    <cfRule type="expression" dxfId="86" priority="24">
      <formula>N5&lt;0</formula>
    </cfRule>
  </conditionalFormatting>
  <conditionalFormatting sqref="N30">
    <cfRule type="expression" dxfId="85" priority="23">
      <formula>N30&lt;0</formula>
    </cfRule>
  </conditionalFormatting>
  <conditionalFormatting sqref="N11:N14">
    <cfRule type="expression" dxfId="84" priority="22">
      <formula>N11&lt;0</formula>
    </cfRule>
  </conditionalFormatting>
  <conditionalFormatting sqref="N22">
    <cfRule type="expression" dxfId="83" priority="21">
      <formula>N22&lt;0</formula>
    </cfRule>
  </conditionalFormatting>
  <conditionalFormatting sqref="N29">
    <cfRule type="expression" dxfId="82" priority="20">
      <formula>N29&lt;0</formula>
    </cfRule>
  </conditionalFormatting>
  <conditionalFormatting sqref="N3">
    <cfRule type="expression" dxfId="81" priority="19">
      <formula>N3&lt;0</formula>
    </cfRule>
  </conditionalFormatting>
  <conditionalFormatting sqref="N3">
    <cfRule type="expression" dxfId="80" priority="18">
      <formula>N3&lt;0</formula>
    </cfRule>
  </conditionalFormatting>
  <conditionalFormatting sqref="N22">
    <cfRule type="expression" dxfId="79" priority="17">
      <formula>N22&lt;0</formula>
    </cfRule>
  </conditionalFormatting>
  <conditionalFormatting sqref="N29">
    <cfRule type="expression" dxfId="78" priority="16">
      <formula>N29&lt;0</formula>
    </cfRule>
  </conditionalFormatting>
  <conditionalFormatting sqref="N27">
    <cfRule type="expression" dxfId="77" priority="12">
      <formula>N27&lt;0</formula>
    </cfRule>
  </conditionalFormatting>
  <conditionalFormatting sqref="N34">
    <cfRule type="expression" dxfId="76" priority="11">
      <formula>N34&lt;0</formula>
    </cfRule>
  </conditionalFormatting>
  <conditionalFormatting sqref="N26">
    <cfRule type="expression" dxfId="75" priority="10">
      <formula>N26&lt;0</formula>
    </cfRule>
  </conditionalFormatting>
  <conditionalFormatting sqref="N33">
    <cfRule type="expression" dxfId="74" priority="9">
      <formula>N33&lt;0</formula>
    </cfRule>
  </conditionalFormatting>
  <conditionalFormatting sqref="N27">
    <cfRule type="expression" dxfId="73" priority="1">
      <formula>N27&lt;0</formula>
    </cfRule>
  </conditionalFormatting>
  <conditionalFormatting sqref="N26">
    <cfRule type="expression" dxfId="72" priority="8">
      <formula>N26&lt;0</formula>
    </cfRule>
  </conditionalFormatting>
  <conditionalFormatting sqref="N33">
    <cfRule type="expression" dxfId="71" priority="7">
      <formula>N33&lt;0</formula>
    </cfRule>
  </conditionalFormatting>
  <conditionalFormatting sqref="N25">
    <cfRule type="expression" dxfId="70" priority="6">
      <formula>N25&lt;0</formula>
    </cfRule>
  </conditionalFormatting>
  <conditionalFormatting sqref="N32">
    <cfRule type="expression" dxfId="69" priority="5">
      <formula>N32&lt;0</formula>
    </cfRule>
  </conditionalFormatting>
  <conditionalFormatting sqref="N29">
    <cfRule type="expression" dxfId="68" priority="4">
      <formula>N29&lt;0</formula>
    </cfRule>
  </conditionalFormatting>
  <conditionalFormatting sqref="N28">
    <cfRule type="expression" dxfId="67" priority="3">
      <formula>N28&lt;0</formula>
    </cfRule>
  </conditionalFormatting>
  <conditionalFormatting sqref="N28">
    <cfRule type="expression" dxfId="66" priority="2">
      <formula>N28&lt;0</formula>
    </cfRule>
  </conditionalFormatting>
  <dataValidations disablePrompts="1" count="1">
    <dataValidation type="list" allowBlank="1" showInputMessage="1" showErrorMessage="1" sqref="L3:L205" xr:uid="{00000000-0002-0000-0000-000000000000}">
      <formula1>Category</formula1>
    </dataValidation>
  </dataValidations>
  <printOptions horizontalCentered="1"/>
  <pageMargins left="0.25" right="0.25" top="0.25" bottom="0.25" header="0.3" footer="0.3"/>
  <pageSetup scale="83" orientation="portrait" r:id="rId1"/>
  <drawing r:id="rId2"/>
  <tableParts count="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M63"/>
  <sheetViews>
    <sheetView workbookViewId="0">
      <selection activeCell="R36" sqref="R35:R36"/>
    </sheetView>
  </sheetViews>
  <sheetFormatPr defaultColWidth="9.109375" defaultRowHeight="13.2" x14ac:dyDescent="0.25"/>
  <cols>
    <col min="1" max="1" width="24.88671875" style="402" customWidth="1"/>
    <col min="2" max="2" width="10.33203125" style="403" customWidth="1"/>
    <col min="3" max="3" width="10.44140625" style="403" bestFit="1" customWidth="1"/>
    <col min="4" max="5" width="10.33203125" style="403" customWidth="1"/>
    <col min="6" max="6" width="2.44140625" style="402" customWidth="1"/>
    <col min="7" max="7" width="13.6640625" style="403" customWidth="1"/>
    <col min="8" max="8" width="2.44140625" style="402" customWidth="1"/>
    <col min="9" max="10" width="13.6640625" style="403" customWidth="1"/>
    <col min="11" max="12" width="9.109375" style="402"/>
    <col min="13" max="13" width="9.44140625" style="402" bestFit="1" customWidth="1"/>
    <col min="14" max="16384" width="9.109375" style="402"/>
  </cols>
  <sheetData>
    <row r="1" spans="1:10" ht="33" customHeight="1" x14ac:dyDescent="0.3">
      <c r="A1" s="413" t="s">
        <v>852</v>
      </c>
      <c r="B1" s="413"/>
      <c r="C1" s="413"/>
      <c r="D1" s="413"/>
      <c r="E1" s="413"/>
      <c r="G1" s="413"/>
      <c r="I1" s="413"/>
      <c r="J1" s="413"/>
    </row>
    <row r="2" spans="1:10" s="414" customFormat="1" ht="39.6" x14ac:dyDescent="0.25">
      <c r="A2" s="411" t="s">
        <v>4</v>
      </c>
      <c r="B2" s="412" t="s">
        <v>438</v>
      </c>
      <c r="C2" s="412" t="s">
        <v>854</v>
      </c>
      <c r="D2" s="412" t="s">
        <v>858</v>
      </c>
      <c r="E2" s="412" t="s">
        <v>462</v>
      </c>
      <c r="G2" s="412" t="s">
        <v>862</v>
      </c>
      <c r="I2" s="412" t="s">
        <v>855</v>
      </c>
      <c r="J2" s="412" t="s">
        <v>860</v>
      </c>
    </row>
    <row r="3" spans="1:10" ht="13.8" x14ac:dyDescent="0.25">
      <c r="A3" s="404" t="s">
        <v>5</v>
      </c>
      <c r="B3" s="458">
        <v>13020.217999999993</v>
      </c>
      <c r="C3" s="405">
        <v>13020.217999999993</v>
      </c>
      <c r="D3" s="405"/>
      <c r="E3" s="405">
        <f>-C3+B3+D3</f>
        <v>0</v>
      </c>
      <c r="G3" s="405"/>
      <c r="I3" s="405">
        <f>+I60</f>
        <v>14409.997999999996</v>
      </c>
      <c r="J3" s="405">
        <v>0</v>
      </c>
    </row>
    <row r="4" spans="1:10" ht="13.8" x14ac:dyDescent="0.25">
      <c r="A4" s="404" t="s">
        <v>32</v>
      </c>
      <c r="B4" s="458">
        <v>1379</v>
      </c>
      <c r="C4" s="405">
        <v>1000</v>
      </c>
      <c r="D4" s="405"/>
      <c r="E4" s="405">
        <f>-C4+B4+D4</f>
        <v>379</v>
      </c>
      <c r="G4" s="405"/>
      <c r="I4" s="405">
        <v>1150</v>
      </c>
      <c r="J4" s="405">
        <f t="shared" ref="J4:J35" si="0">-I4+C4</f>
        <v>-150</v>
      </c>
    </row>
    <row r="5" spans="1:10" ht="13.8" x14ac:dyDescent="0.25">
      <c r="A5" s="404" t="s">
        <v>572</v>
      </c>
      <c r="B5" s="458">
        <v>0</v>
      </c>
      <c r="C5" s="405">
        <v>0</v>
      </c>
      <c r="D5" s="405"/>
      <c r="E5" s="405">
        <f t="shared" ref="E5:E35" si="1">-C5+B5+D5</f>
        <v>0</v>
      </c>
      <c r="G5" s="405"/>
      <c r="I5" s="405">
        <v>0</v>
      </c>
      <c r="J5" s="405">
        <f t="shared" si="0"/>
        <v>0</v>
      </c>
    </row>
    <row r="6" spans="1:10" ht="13.8" x14ac:dyDescent="0.25">
      <c r="A6" s="404" t="s">
        <v>571</v>
      </c>
      <c r="B6" s="458">
        <v>0</v>
      </c>
      <c r="C6" s="405">
        <v>0</v>
      </c>
      <c r="D6" s="405"/>
      <c r="E6" s="405">
        <f t="shared" si="1"/>
        <v>0</v>
      </c>
      <c r="G6" s="405"/>
      <c r="I6" s="405">
        <v>0</v>
      </c>
      <c r="J6" s="405">
        <f t="shared" si="0"/>
        <v>0</v>
      </c>
    </row>
    <row r="7" spans="1:10" ht="13.8" x14ac:dyDescent="0.25">
      <c r="A7" s="404" t="s">
        <v>33</v>
      </c>
      <c r="B7" s="458">
        <v>1394.83</v>
      </c>
      <c r="C7" s="405">
        <v>1000</v>
      </c>
      <c r="D7" s="405"/>
      <c r="E7" s="405">
        <f>-C7+B7+D7</f>
        <v>394.82999999999993</v>
      </c>
      <c r="G7" s="405"/>
      <c r="I7" s="405">
        <v>1000</v>
      </c>
      <c r="J7" s="405">
        <f t="shared" si="0"/>
        <v>0</v>
      </c>
    </row>
    <row r="8" spans="1:10" ht="13.8" x14ac:dyDescent="0.25">
      <c r="A8" s="404" t="s">
        <v>34</v>
      </c>
      <c r="B8" s="458">
        <v>-1442.1399999999999</v>
      </c>
      <c r="C8" s="405">
        <v>-1500</v>
      </c>
      <c r="D8" s="405">
        <v>-500</v>
      </c>
      <c r="E8" s="405">
        <f t="shared" si="1"/>
        <v>-442.13999999999987</v>
      </c>
      <c r="G8" s="405"/>
      <c r="I8" s="405">
        <v>-1500</v>
      </c>
      <c r="J8" s="405">
        <f t="shared" si="0"/>
        <v>0</v>
      </c>
    </row>
    <row r="9" spans="1:10" ht="13.8" x14ac:dyDescent="0.25">
      <c r="A9" s="404" t="s">
        <v>37</v>
      </c>
      <c r="B9" s="458">
        <v>0</v>
      </c>
      <c r="C9" s="405">
        <v>-50</v>
      </c>
      <c r="D9" s="405"/>
      <c r="E9" s="405">
        <f t="shared" si="1"/>
        <v>50</v>
      </c>
      <c r="G9" s="405"/>
      <c r="I9" s="405">
        <v>-50</v>
      </c>
      <c r="J9" s="405">
        <f t="shared" si="0"/>
        <v>0</v>
      </c>
    </row>
    <row r="10" spans="1:10" ht="13.8" x14ac:dyDescent="0.25">
      <c r="A10" s="404" t="s">
        <v>39</v>
      </c>
      <c r="B10" s="458">
        <v>-302.34000000000003</v>
      </c>
      <c r="C10" s="405">
        <v>-300</v>
      </c>
      <c r="D10" s="405">
        <v>-40</v>
      </c>
      <c r="E10" s="405">
        <f t="shared" si="1"/>
        <v>-42.340000000000032</v>
      </c>
      <c r="G10" s="405">
        <v>-340</v>
      </c>
      <c r="I10" s="405">
        <v>-350</v>
      </c>
      <c r="J10" s="405">
        <f t="shared" si="0"/>
        <v>50</v>
      </c>
    </row>
    <row r="11" spans="1:10" ht="13.8" x14ac:dyDescent="0.25">
      <c r="A11" s="404" t="s">
        <v>40</v>
      </c>
      <c r="B11" s="458">
        <v>0</v>
      </c>
      <c r="C11" s="405">
        <v>-150</v>
      </c>
      <c r="D11" s="405"/>
      <c r="E11" s="405">
        <f t="shared" si="1"/>
        <v>150</v>
      </c>
      <c r="G11" s="405"/>
      <c r="I11" s="405">
        <v>-150</v>
      </c>
      <c r="J11" s="405">
        <f t="shared" si="0"/>
        <v>0</v>
      </c>
    </row>
    <row r="12" spans="1:10" ht="13.8" x14ac:dyDescent="0.25">
      <c r="A12" s="404" t="s">
        <v>91</v>
      </c>
      <c r="B12" s="458">
        <v>5.67</v>
      </c>
      <c r="C12" s="405">
        <v>5</v>
      </c>
      <c r="D12" s="405">
        <v>-0.46</v>
      </c>
      <c r="E12" s="405">
        <f t="shared" si="1"/>
        <v>0.20999999999999991</v>
      </c>
      <c r="G12" s="405"/>
      <c r="I12" s="405">
        <v>5</v>
      </c>
      <c r="J12" s="405">
        <f t="shared" si="0"/>
        <v>0</v>
      </c>
    </row>
    <row r="13" spans="1:10" ht="13.8" x14ac:dyDescent="0.25">
      <c r="A13" s="404" t="s">
        <v>43</v>
      </c>
      <c r="B13" s="458">
        <v>-445</v>
      </c>
      <c r="C13" s="405">
        <v>-450</v>
      </c>
      <c r="D13" s="405">
        <v>-75</v>
      </c>
      <c r="E13" s="405">
        <f t="shared" si="1"/>
        <v>-70</v>
      </c>
      <c r="G13" s="405"/>
      <c r="I13" s="405">
        <v>-450</v>
      </c>
      <c r="J13" s="405">
        <f t="shared" si="0"/>
        <v>0</v>
      </c>
    </row>
    <row r="14" spans="1:10" ht="13.8" x14ac:dyDescent="0.25">
      <c r="A14" s="404" t="s">
        <v>44</v>
      </c>
      <c r="B14" s="458">
        <v>0</v>
      </c>
      <c r="C14" s="405">
        <v>-300</v>
      </c>
      <c r="D14" s="405"/>
      <c r="E14" s="405">
        <f t="shared" si="1"/>
        <v>300</v>
      </c>
      <c r="G14" s="405"/>
      <c r="I14" s="405">
        <v>-300</v>
      </c>
      <c r="J14" s="405">
        <f t="shared" si="0"/>
        <v>0</v>
      </c>
    </row>
    <row r="15" spans="1:10" ht="13.8" x14ac:dyDescent="0.25">
      <c r="A15" s="404" t="s">
        <v>45</v>
      </c>
      <c r="B15" s="458">
        <v>-92</v>
      </c>
      <c r="C15" s="405">
        <v>-85</v>
      </c>
      <c r="D15" s="405"/>
      <c r="E15" s="405">
        <f t="shared" si="1"/>
        <v>-7</v>
      </c>
      <c r="G15" s="405"/>
      <c r="I15" s="405">
        <v>-95</v>
      </c>
      <c r="J15" s="405">
        <f t="shared" si="0"/>
        <v>10</v>
      </c>
    </row>
    <row r="16" spans="1:10" ht="13.8" x14ac:dyDescent="0.25">
      <c r="A16" s="404" t="s">
        <v>46</v>
      </c>
      <c r="B16" s="458">
        <v>-1032</v>
      </c>
      <c r="C16" s="405">
        <v>-1050</v>
      </c>
      <c r="D16" s="405"/>
      <c r="E16" s="405">
        <f t="shared" si="1"/>
        <v>18</v>
      </c>
      <c r="G16" s="405"/>
      <c r="I16" s="405">
        <v>-1050</v>
      </c>
      <c r="J16" s="405">
        <f t="shared" si="0"/>
        <v>0</v>
      </c>
    </row>
    <row r="17" spans="1:10" ht="13.8" x14ac:dyDescent="0.25">
      <c r="A17" s="404" t="s">
        <v>47</v>
      </c>
      <c r="B17" s="458">
        <v>-8</v>
      </c>
      <c r="C17" s="405">
        <v>-50</v>
      </c>
      <c r="D17" s="405"/>
      <c r="E17" s="405">
        <f t="shared" si="1"/>
        <v>42</v>
      </c>
      <c r="G17" s="405">
        <v>-50</v>
      </c>
      <c r="I17" s="405">
        <v>-50</v>
      </c>
      <c r="J17" s="405">
        <f t="shared" si="0"/>
        <v>0</v>
      </c>
    </row>
    <row r="18" spans="1:10" ht="13.8" x14ac:dyDescent="0.25">
      <c r="A18" s="404" t="s">
        <v>49</v>
      </c>
      <c r="B18" s="458">
        <v>0</v>
      </c>
      <c r="C18" s="405">
        <v>-50</v>
      </c>
      <c r="D18" s="405"/>
      <c r="E18" s="405">
        <f t="shared" si="1"/>
        <v>50</v>
      </c>
      <c r="G18" s="405">
        <v>-50</v>
      </c>
      <c r="I18" s="405">
        <v>-50</v>
      </c>
      <c r="J18" s="405">
        <f t="shared" si="0"/>
        <v>0</v>
      </c>
    </row>
    <row r="19" spans="1:10" ht="13.8" x14ac:dyDescent="0.25">
      <c r="A19" s="404" t="s">
        <v>50</v>
      </c>
      <c r="B19" s="458">
        <v>0</v>
      </c>
      <c r="C19" s="405">
        <v>-25</v>
      </c>
      <c r="D19" s="405"/>
      <c r="E19" s="405">
        <f t="shared" si="1"/>
        <v>25</v>
      </c>
      <c r="G19" s="405">
        <v>-25</v>
      </c>
      <c r="I19" s="405">
        <v>-25</v>
      </c>
      <c r="J19" s="405">
        <f t="shared" si="0"/>
        <v>0</v>
      </c>
    </row>
    <row r="20" spans="1:10" ht="13.8" x14ac:dyDescent="0.25">
      <c r="A20" s="404" t="s">
        <v>51</v>
      </c>
      <c r="B20" s="458">
        <v>-562</v>
      </c>
      <c r="C20" s="405">
        <v>-700</v>
      </c>
      <c r="D20" s="405">
        <v>-80</v>
      </c>
      <c r="E20" s="405">
        <f t="shared" si="1"/>
        <v>58</v>
      </c>
      <c r="G20" s="405">
        <v>-850</v>
      </c>
      <c r="I20" s="405">
        <v>-850</v>
      </c>
      <c r="J20" s="405">
        <f t="shared" si="0"/>
        <v>150</v>
      </c>
    </row>
    <row r="21" spans="1:10" ht="13.8" x14ac:dyDescent="0.25">
      <c r="A21" s="404" t="s">
        <v>52</v>
      </c>
      <c r="B21" s="458">
        <v>0</v>
      </c>
      <c r="C21" s="405">
        <v>-100</v>
      </c>
      <c r="D21" s="405"/>
      <c r="E21" s="405">
        <f t="shared" si="1"/>
        <v>100</v>
      </c>
      <c r="G21" s="405">
        <v>-100</v>
      </c>
      <c r="I21" s="405">
        <v>-100</v>
      </c>
      <c r="J21" s="405">
        <f t="shared" si="0"/>
        <v>0</v>
      </c>
    </row>
    <row r="22" spans="1:10" ht="13.8" x14ac:dyDescent="0.25">
      <c r="A22" s="404" t="s">
        <v>53</v>
      </c>
      <c r="B22" s="458">
        <v>-77.55</v>
      </c>
      <c r="C22" s="405">
        <v>-25</v>
      </c>
      <c r="D22" s="405"/>
      <c r="E22" s="405">
        <f t="shared" si="1"/>
        <v>-52.55</v>
      </c>
      <c r="G22" s="405">
        <v>-25</v>
      </c>
      <c r="I22" s="405">
        <v>-25</v>
      </c>
      <c r="J22" s="405">
        <f t="shared" si="0"/>
        <v>0</v>
      </c>
    </row>
    <row r="23" spans="1:10" ht="13.8" x14ac:dyDescent="0.25">
      <c r="A23" s="404" t="s">
        <v>54</v>
      </c>
      <c r="B23" s="458">
        <v>0</v>
      </c>
      <c r="C23" s="405">
        <v>-25</v>
      </c>
      <c r="D23" s="405"/>
      <c r="E23" s="405">
        <f t="shared" si="1"/>
        <v>25</v>
      </c>
      <c r="G23" s="405">
        <v>-25</v>
      </c>
      <c r="I23" s="405">
        <v>-25</v>
      </c>
      <c r="J23" s="405">
        <f t="shared" si="0"/>
        <v>0</v>
      </c>
    </row>
    <row r="24" spans="1:10" ht="13.8" x14ac:dyDescent="0.25">
      <c r="A24" s="404" t="s">
        <v>36</v>
      </c>
      <c r="B24" s="458">
        <v>0</v>
      </c>
      <c r="C24" s="405">
        <v>-500</v>
      </c>
      <c r="D24" s="405"/>
      <c r="E24" s="405">
        <f t="shared" si="1"/>
        <v>500</v>
      </c>
      <c r="G24" s="405">
        <v>-500</v>
      </c>
      <c r="I24" s="405">
        <v>-500</v>
      </c>
      <c r="J24" s="405">
        <f t="shared" si="0"/>
        <v>0</v>
      </c>
    </row>
    <row r="25" spans="1:10" ht="13.8" x14ac:dyDescent="0.25">
      <c r="A25" s="404" t="s">
        <v>573</v>
      </c>
      <c r="B25" s="458">
        <v>0</v>
      </c>
      <c r="C25" s="405">
        <v>-200</v>
      </c>
      <c r="D25" s="405"/>
      <c r="E25" s="405">
        <f t="shared" si="1"/>
        <v>200</v>
      </c>
      <c r="G25" s="405">
        <v>-200</v>
      </c>
      <c r="I25" s="405">
        <v>-200</v>
      </c>
      <c r="J25" s="405">
        <f t="shared" si="0"/>
        <v>0</v>
      </c>
    </row>
    <row r="26" spans="1:10" ht="13.8" x14ac:dyDescent="0.25">
      <c r="A26" s="404" t="s">
        <v>574</v>
      </c>
      <c r="B26" s="458">
        <v>0</v>
      </c>
      <c r="C26" s="405">
        <v>-200</v>
      </c>
      <c r="D26" s="405"/>
      <c r="E26" s="405">
        <f t="shared" si="1"/>
        <v>200</v>
      </c>
      <c r="G26" s="405">
        <v>-200</v>
      </c>
      <c r="I26" s="405">
        <v>-200</v>
      </c>
      <c r="J26" s="405">
        <f t="shared" si="0"/>
        <v>0</v>
      </c>
    </row>
    <row r="27" spans="1:10" ht="13.8" x14ac:dyDescent="0.25">
      <c r="A27" s="404" t="s">
        <v>389</v>
      </c>
      <c r="B27" s="458">
        <v>-311.49</v>
      </c>
      <c r="C27" s="405">
        <v>-400</v>
      </c>
      <c r="D27" s="405"/>
      <c r="E27" s="405">
        <f t="shared" si="1"/>
        <v>88.509999999999991</v>
      </c>
      <c r="G27" s="405">
        <v>-400</v>
      </c>
      <c r="I27" s="405">
        <v>-400</v>
      </c>
      <c r="J27" s="405">
        <f t="shared" si="0"/>
        <v>0</v>
      </c>
    </row>
    <row r="28" spans="1:10" ht="13.8" x14ac:dyDescent="0.25">
      <c r="A28" s="404" t="s">
        <v>390</v>
      </c>
      <c r="B28" s="458">
        <v>-47.75</v>
      </c>
      <c r="C28" s="405">
        <v>-300</v>
      </c>
      <c r="D28" s="405"/>
      <c r="E28" s="405">
        <f t="shared" si="1"/>
        <v>252.25</v>
      </c>
      <c r="G28" s="405">
        <v>-300</v>
      </c>
      <c r="I28" s="405">
        <v>-300</v>
      </c>
      <c r="J28" s="405">
        <f t="shared" si="0"/>
        <v>0</v>
      </c>
    </row>
    <row r="29" spans="1:10" ht="13.8" x14ac:dyDescent="0.25">
      <c r="A29" s="404" t="s">
        <v>703</v>
      </c>
      <c r="B29" s="458">
        <v>-1715</v>
      </c>
      <c r="C29" s="405">
        <v>-1715</v>
      </c>
      <c r="D29" s="405"/>
      <c r="E29" s="405">
        <f t="shared" si="1"/>
        <v>0</v>
      </c>
      <c r="G29" s="405"/>
      <c r="I29" s="405">
        <v>-1715</v>
      </c>
      <c r="J29" s="405">
        <f t="shared" si="0"/>
        <v>0</v>
      </c>
    </row>
    <row r="30" spans="1:10" ht="13.8" x14ac:dyDescent="0.25">
      <c r="A30" s="404" t="s">
        <v>704</v>
      </c>
      <c r="B30" s="458">
        <v>-435.74</v>
      </c>
      <c r="C30" s="405">
        <v>0</v>
      </c>
      <c r="D30" s="405">
        <v>-400</v>
      </c>
      <c r="E30" s="405">
        <f t="shared" si="1"/>
        <v>-835.74</v>
      </c>
      <c r="G30" s="405"/>
      <c r="I30" s="405">
        <v>0</v>
      </c>
      <c r="J30" s="405">
        <f t="shared" si="0"/>
        <v>0</v>
      </c>
    </row>
    <row r="31" spans="1:10" ht="13.8" x14ac:dyDescent="0.25">
      <c r="A31" s="404" t="s">
        <v>55</v>
      </c>
      <c r="B31" s="458">
        <v>-3000</v>
      </c>
      <c r="C31" s="405">
        <v>-3000</v>
      </c>
      <c r="D31" s="405"/>
      <c r="E31" s="405">
        <f t="shared" si="1"/>
        <v>0</v>
      </c>
      <c r="G31" s="405"/>
      <c r="I31" s="405">
        <v>-3000</v>
      </c>
      <c r="J31" s="405">
        <f t="shared" si="0"/>
        <v>0</v>
      </c>
    </row>
    <row r="32" spans="1:10" ht="13.8" x14ac:dyDescent="0.25">
      <c r="A32" s="404" t="s">
        <v>56</v>
      </c>
      <c r="B32" s="458">
        <v>-4000</v>
      </c>
      <c r="C32" s="405">
        <v>-4000</v>
      </c>
      <c r="D32" s="405"/>
      <c r="E32" s="405">
        <f t="shared" si="1"/>
        <v>0</v>
      </c>
      <c r="G32" s="405"/>
      <c r="I32" s="405">
        <v>-4000</v>
      </c>
      <c r="J32" s="405">
        <f t="shared" si="0"/>
        <v>0</v>
      </c>
    </row>
    <row r="33" spans="1:13" ht="13.8" x14ac:dyDescent="0.25">
      <c r="A33" s="404" t="s">
        <v>590</v>
      </c>
      <c r="B33" s="458">
        <v>0</v>
      </c>
      <c r="C33" s="405">
        <v>0</v>
      </c>
      <c r="D33" s="405"/>
      <c r="E33" s="405">
        <f t="shared" si="1"/>
        <v>0</v>
      </c>
      <c r="G33" s="405"/>
      <c r="I33" s="405">
        <v>0</v>
      </c>
      <c r="J33" s="405">
        <f t="shared" si="0"/>
        <v>0</v>
      </c>
    </row>
    <row r="34" spans="1:13" ht="13.8" x14ac:dyDescent="0.25">
      <c r="A34" s="404" t="s">
        <v>58</v>
      </c>
      <c r="B34" s="458">
        <v>-750</v>
      </c>
      <c r="C34" s="405">
        <v>-750</v>
      </c>
      <c r="D34" s="405"/>
      <c r="E34" s="405">
        <f t="shared" si="1"/>
        <v>0</v>
      </c>
      <c r="G34" s="405"/>
      <c r="I34" s="405">
        <v>-900</v>
      </c>
      <c r="J34" s="405">
        <f t="shared" si="0"/>
        <v>150</v>
      </c>
    </row>
    <row r="35" spans="1:13" ht="13.8" x14ac:dyDescent="0.25">
      <c r="A35" s="404" t="s">
        <v>59</v>
      </c>
      <c r="B35" s="458">
        <v>-500</v>
      </c>
      <c r="C35" s="405">
        <v>-500</v>
      </c>
      <c r="D35" s="405"/>
      <c r="E35" s="405">
        <f t="shared" si="1"/>
        <v>0</v>
      </c>
      <c r="G35" s="405"/>
      <c r="I35" s="405">
        <v>-600</v>
      </c>
      <c r="J35" s="405">
        <f t="shared" si="0"/>
        <v>100</v>
      </c>
    </row>
    <row r="36" spans="1:13" ht="13.8" thickBot="1" x14ac:dyDescent="0.3">
      <c r="A36" s="407" t="s">
        <v>519</v>
      </c>
      <c r="B36" s="408">
        <f>SUM(B3:B35)</f>
        <v>1078.7079999999951</v>
      </c>
      <c r="C36" s="408">
        <f>SUM(C3:C35)</f>
        <v>-1399.7820000000065</v>
      </c>
      <c r="D36" s="408">
        <f>SUM(D3:D35)</f>
        <v>-1095.46</v>
      </c>
      <c r="E36" s="408">
        <f>SUM(E3:E35)</f>
        <v>1383.03</v>
      </c>
      <c r="G36" s="408">
        <f>SUM(G3:G35)</f>
        <v>-3065</v>
      </c>
      <c r="I36" s="408">
        <f>SUM(I3:I35)</f>
        <v>-320.00200000000405</v>
      </c>
      <c r="J36" s="408">
        <f>SUM(J3:J35)</f>
        <v>310</v>
      </c>
    </row>
    <row r="37" spans="1:13" ht="13.8" thickTop="1" x14ac:dyDescent="0.25"/>
    <row r="38" spans="1:13" x14ac:dyDescent="0.25">
      <c r="A38" s="404" t="s">
        <v>60</v>
      </c>
      <c r="B38" s="405">
        <v>6397.86</v>
      </c>
      <c r="C38" s="405">
        <v>5600</v>
      </c>
      <c r="D38" s="405"/>
      <c r="E38" s="405">
        <f t="shared" ref="E38:E53" si="2">-C38+B38+D38</f>
        <v>797.85999999999967</v>
      </c>
      <c r="G38" s="405">
        <v>5000</v>
      </c>
      <c r="I38" s="405">
        <v>5600</v>
      </c>
      <c r="J38" s="405">
        <f t="shared" ref="J38:J53" si="3">-I38+C38</f>
        <v>0</v>
      </c>
    </row>
    <row r="39" spans="1:13" x14ac:dyDescent="0.25">
      <c r="A39" s="404" t="s">
        <v>61</v>
      </c>
      <c r="B39" s="405">
        <v>13899.38</v>
      </c>
      <c r="C39" s="405">
        <v>15000</v>
      </c>
      <c r="D39" s="405"/>
      <c r="E39" s="405">
        <f t="shared" si="2"/>
        <v>-1100.6200000000008</v>
      </c>
      <c r="G39" s="405">
        <v>16500</v>
      </c>
      <c r="I39" s="405">
        <v>14400</v>
      </c>
      <c r="J39" s="405">
        <f t="shared" si="3"/>
        <v>600</v>
      </c>
    </row>
    <row r="40" spans="1:13" x14ac:dyDescent="0.25">
      <c r="A40" s="404" t="s">
        <v>853</v>
      </c>
      <c r="B40" s="405"/>
      <c r="C40" s="405"/>
      <c r="D40" s="405"/>
      <c r="E40" s="405"/>
      <c r="G40" s="405"/>
      <c r="I40" s="405">
        <f>(I38+I39)*-0.02</f>
        <v>-400</v>
      </c>
      <c r="J40" s="405">
        <f t="shared" si="3"/>
        <v>400</v>
      </c>
    </row>
    <row r="41" spans="1:13" x14ac:dyDescent="0.25">
      <c r="A41" s="404" t="s">
        <v>62</v>
      </c>
      <c r="B41" s="405">
        <v>-139.02000000000001</v>
      </c>
      <c r="C41" s="405">
        <v>-100</v>
      </c>
      <c r="D41" s="405"/>
      <c r="E41" s="405">
        <f t="shared" si="2"/>
        <v>-39.02000000000001</v>
      </c>
      <c r="G41" s="405">
        <v>-100</v>
      </c>
      <c r="I41" s="405">
        <v>-100</v>
      </c>
      <c r="J41" s="405">
        <f t="shared" si="3"/>
        <v>0</v>
      </c>
      <c r="M41" s="406">
        <f>+B48/C39</f>
        <v>-0.36133333333333334</v>
      </c>
    </row>
    <row r="42" spans="1:13" x14ac:dyDescent="0.25">
      <c r="A42" s="404" t="s">
        <v>63</v>
      </c>
      <c r="B42" s="405">
        <v>-117.2</v>
      </c>
      <c r="C42" s="405">
        <v>-100</v>
      </c>
      <c r="D42" s="405">
        <v>-100</v>
      </c>
      <c r="E42" s="405">
        <f t="shared" si="2"/>
        <v>-117.2</v>
      </c>
      <c r="G42" s="405">
        <v>-100</v>
      </c>
      <c r="I42" s="405">
        <v>-100</v>
      </c>
      <c r="J42" s="405">
        <f t="shared" si="3"/>
        <v>0</v>
      </c>
    </row>
    <row r="43" spans="1:13" x14ac:dyDescent="0.25">
      <c r="A43" s="404" t="s">
        <v>64</v>
      </c>
      <c r="B43" s="405">
        <v>-39.519999999999996</v>
      </c>
      <c r="C43" s="405">
        <v>-50</v>
      </c>
      <c r="D43" s="405"/>
      <c r="E43" s="405">
        <f t="shared" si="2"/>
        <v>10.480000000000004</v>
      </c>
      <c r="G43" s="405">
        <v>-50</v>
      </c>
      <c r="I43" s="405">
        <v>-50</v>
      </c>
      <c r="J43" s="405">
        <f t="shared" si="3"/>
        <v>0</v>
      </c>
      <c r="M43" s="406">
        <f>+I39*M41</f>
        <v>-5203.2</v>
      </c>
    </row>
    <row r="44" spans="1:13" x14ac:dyDescent="0.25">
      <c r="A44" s="404" t="s">
        <v>65</v>
      </c>
      <c r="B44" s="405">
        <v>-26.58</v>
      </c>
      <c r="C44" s="405">
        <v>-50</v>
      </c>
      <c r="D44" s="405"/>
      <c r="E44" s="405">
        <f t="shared" si="2"/>
        <v>23.42</v>
      </c>
      <c r="G44" s="405">
        <v>-50</v>
      </c>
      <c r="I44" s="405">
        <v>-50</v>
      </c>
      <c r="J44" s="405">
        <f t="shared" si="3"/>
        <v>0</v>
      </c>
    </row>
    <row r="45" spans="1:13" x14ac:dyDescent="0.25">
      <c r="A45" s="404" t="s">
        <v>66</v>
      </c>
      <c r="B45" s="405">
        <v>-4297.1100000000006</v>
      </c>
      <c r="C45" s="405">
        <v>-4000</v>
      </c>
      <c r="D45" s="405"/>
      <c r="E45" s="405">
        <f t="shared" si="2"/>
        <v>-297.11000000000058</v>
      </c>
      <c r="G45" s="405">
        <v>-5000</v>
      </c>
      <c r="I45" s="405">
        <v>-4500</v>
      </c>
      <c r="J45" s="405">
        <f t="shared" si="3"/>
        <v>500</v>
      </c>
    </row>
    <row r="46" spans="1:13" x14ac:dyDescent="0.25">
      <c r="A46" s="404" t="s">
        <v>67</v>
      </c>
      <c r="B46" s="405">
        <v>-4471.04</v>
      </c>
      <c r="C46" s="405">
        <v>-4000</v>
      </c>
      <c r="D46" s="405"/>
      <c r="E46" s="405">
        <f t="shared" si="2"/>
        <v>-471.03999999999996</v>
      </c>
      <c r="G46" s="405">
        <v>-4000</v>
      </c>
      <c r="I46" s="405">
        <v>-4000</v>
      </c>
      <c r="J46" s="405">
        <f t="shared" si="3"/>
        <v>0</v>
      </c>
    </row>
    <row r="47" spans="1:13" x14ac:dyDescent="0.25">
      <c r="A47" s="404" t="s">
        <v>68</v>
      </c>
      <c r="B47" s="405">
        <v>-851.48</v>
      </c>
      <c r="C47" s="405">
        <v>-1000</v>
      </c>
      <c r="D47" s="405"/>
      <c r="E47" s="405">
        <f t="shared" si="2"/>
        <v>148.51999999999998</v>
      </c>
      <c r="G47" s="405">
        <v>-1000</v>
      </c>
      <c r="I47" s="405">
        <v>-1000</v>
      </c>
      <c r="J47" s="405">
        <f t="shared" si="3"/>
        <v>0</v>
      </c>
    </row>
    <row r="48" spans="1:13" x14ac:dyDescent="0.25">
      <c r="A48" s="404" t="s">
        <v>69</v>
      </c>
      <c r="B48" s="405">
        <v>-5420</v>
      </c>
      <c r="C48" s="405">
        <v>-6450</v>
      </c>
      <c r="D48" s="405"/>
      <c r="E48" s="405">
        <f t="shared" si="2"/>
        <v>1030</v>
      </c>
      <c r="G48" s="405">
        <v>-6500</v>
      </c>
      <c r="I48" s="405">
        <v>-5600</v>
      </c>
      <c r="J48" s="405">
        <f t="shared" si="3"/>
        <v>-850</v>
      </c>
      <c r="M48" s="402">
        <f>15+25+315</f>
        <v>355</v>
      </c>
    </row>
    <row r="49" spans="1:13" x14ac:dyDescent="0.25">
      <c r="A49" s="404" t="s">
        <v>70</v>
      </c>
      <c r="B49" s="405">
        <v>-387.8</v>
      </c>
      <c r="C49" s="405">
        <v>-700</v>
      </c>
      <c r="D49" s="405"/>
      <c r="E49" s="405">
        <f t="shared" si="2"/>
        <v>312.2</v>
      </c>
      <c r="G49" s="405">
        <v>-700</v>
      </c>
      <c r="I49" s="405">
        <v>-700</v>
      </c>
      <c r="J49" s="405">
        <f t="shared" si="3"/>
        <v>0</v>
      </c>
      <c r="M49" s="406">
        <f>+B38+B39</f>
        <v>20297.239999999998</v>
      </c>
    </row>
    <row r="50" spans="1:13" x14ac:dyDescent="0.25">
      <c r="A50" s="404" t="s">
        <v>71</v>
      </c>
      <c r="B50" s="405">
        <v>0</v>
      </c>
      <c r="C50" s="405">
        <v>-50</v>
      </c>
      <c r="D50" s="405"/>
      <c r="E50" s="405">
        <f t="shared" si="2"/>
        <v>50</v>
      </c>
      <c r="G50" s="405">
        <v>-50</v>
      </c>
      <c r="I50" s="405">
        <v>-50</v>
      </c>
      <c r="J50" s="405">
        <f t="shared" si="3"/>
        <v>0</v>
      </c>
      <c r="M50" s="415">
        <f>+M48/M49</f>
        <v>1.7490062688326098E-2</v>
      </c>
    </row>
    <row r="51" spans="1:13" x14ac:dyDescent="0.25">
      <c r="A51" s="404" t="s">
        <v>72</v>
      </c>
      <c r="B51" s="405">
        <v>-58</v>
      </c>
      <c r="C51" s="405">
        <v>-150</v>
      </c>
      <c r="D51" s="405"/>
      <c r="E51" s="405">
        <f t="shared" si="2"/>
        <v>92</v>
      </c>
      <c r="G51" s="405">
        <v>-250</v>
      </c>
      <c r="I51" s="405">
        <v>-250</v>
      </c>
      <c r="J51" s="405">
        <f t="shared" si="3"/>
        <v>100</v>
      </c>
    </row>
    <row r="52" spans="1:13" x14ac:dyDescent="0.25">
      <c r="A52" s="404" t="s">
        <v>73</v>
      </c>
      <c r="B52" s="405">
        <v>0</v>
      </c>
      <c r="C52" s="405">
        <v>-100</v>
      </c>
      <c r="D52" s="405">
        <v>-100</v>
      </c>
      <c r="E52" s="405">
        <f t="shared" si="2"/>
        <v>0</v>
      </c>
      <c r="G52" s="405">
        <v>-100</v>
      </c>
      <c r="I52" s="405">
        <v>-100</v>
      </c>
      <c r="J52" s="405">
        <f t="shared" si="3"/>
        <v>0</v>
      </c>
    </row>
    <row r="53" spans="1:13" x14ac:dyDescent="0.25">
      <c r="A53" s="404" t="s">
        <v>74</v>
      </c>
      <c r="B53" s="405">
        <v>0</v>
      </c>
      <c r="C53" s="405">
        <v>-100</v>
      </c>
      <c r="D53" s="405"/>
      <c r="E53" s="405">
        <f t="shared" si="2"/>
        <v>100</v>
      </c>
      <c r="G53" s="405">
        <v>-100</v>
      </c>
      <c r="I53" s="405">
        <v>-100</v>
      </c>
      <c r="J53" s="405">
        <f t="shared" si="3"/>
        <v>0</v>
      </c>
    </row>
    <row r="54" spans="1:13" ht="13.8" thickBot="1" x14ac:dyDescent="0.3">
      <c r="A54" s="407" t="s">
        <v>520</v>
      </c>
      <c r="B54" s="408">
        <f>SUM(B38:B53)</f>
        <v>4489.4899999999934</v>
      </c>
      <c r="C54" s="408">
        <f>SUM(C38:C53)</f>
        <v>3750</v>
      </c>
      <c r="D54" s="408">
        <f>SUM(D38:D53)</f>
        <v>-200</v>
      </c>
      <c r="E54" s="408">
        <f>SUM(E38:E53)</f>
        <v>539.48999999999842</v>
      </c>
      <c r="G54" s="408">
        <f>SUM(G38:G53)</f>
        <v>3500</v>
      </c>
      <c r="I54" s="408">
        <f>SUM(I38:I53)</f>
        <v>3000</v>
      </c>
      <c r="J54" s="408">
        <f>SUM(J38:J53)</f>
        <v>750</v>
      </c>
    </row>
    <row r="55" spans="1:13" ht="13.8" thickTop="1" x14ac:dyDescent="0.25"/>
    <row r="56" spans="1:13" ht="13.8" thickBot="1" x14ac:dyDescent="0.3">
      <c r="A56" s="409" t="s">
        <v>857</v>
      </c>
      <c r="B56" s="410">
        <f>+B36+B54</f>
        <v>5568.1979999999885</v>
      </c>
      <c r="C56" s="410">
        <f t="shared" ref="C56:J56" si="4">+C36+C54</f>
        <v>2350.2179999999935</v>
      </c>
      <c r="D56" s="410">
        <f t="shared" si="4"/>
        <v>-1295.46</v>
      </c>
      <c r="E56" s="410">
        <f t="shared" si="4"/>
        <v>1922.5199999999984</v>
      </c>
      <c r="G56" s="410"/>
      <c r="I56" s="410">
        <f t="shared" si="4"/>
        <v>2679.997999999996</v>
      </c>
      <c r="J56" s="410">
        <f t="shared" si="4"/>
        <v>1060</v>
      </c>
    </row>
    <row r="57" spans="1:13" ht="13.8" thickTop="1" x14ac:dyDescent="0.25"/>
    <row r="59" spans="1:13" ht="39.6" x14ac:dyDescent="0.25">
      <c r="B59" s="412" t="s">
        <v>861</v>
      </c>
      <c r="C59" s="412"/>
      <c r="D59" s="412" t="s">
        <v>859</v>
      </c>
      <c r="E59" s="412"/>
      <c r="G59" s="412"/>
      <c r="I59" s="412" t="s">
        <v>856</v>
      </c>
    </row>
    <row r="60" spans="1:13" x14ac:dyDescent="0.25">
      <c r="B60" s="405">
        <v>15705.457999999995</v>
      </c>
      <c r="C60" s="405"/>
      <c r="D60" s="405">
        <f>+D56</f>
        <v>-1295.46</v>
      </c>
      <c r="E60" s="405"/>
      <c r="G60" s="405"/>
      <c r="I60" s="405">
        <f>+B60+D60</f>
        <v>14409.997999999996</v>
      </c>
    </row>
    <row r="62" spans="1:13" x14ac:dyDescent="0.25">
      <c r="B62" s="403">
        <v>2017</v>
      </c>
      <c r="C62" s="403">
        <v>2018</v>
      </c>
      <c r="D62" s="403">
        <v>2019</v>
      </c>
    </row>
    <row r="63" spans="1:13" x14ac:dyDescent="0.25">
      <c r="B63" s="403">
        <v>15268.6</v>
      </c>
      <c r="C63" s="403">
        <v>13428.11</v>
      </c>
      <c r="D63" s="403">
        <v>14156.14</v>
      </c>
      <c r="E63" s="403">
        <f>(B63+C63+D63)/3</f>
        <v>14284.283333333333</v>
      </c>
    </row>
  </sheetData>
  <conditionalFormatting sqref="E1:E1048576">
    <cfRule type="cellIs" dxfId="65" priority="3" operator="lessThan">
      <formula>0</formula>
    </cfRule>
  </conditionalFormatting>
  <conditionalFormatting sqref="J57:J1048576 J1:J55">
    <cfRule type="cellIs" dxfId="64" priority="1" operator="lessThan">
      <formula>0</formula>
    </cfRule>
    <cfRule type="cellIs" dxfId="63" priority="2" operator="lessThan">
      <formula>-6830.23</formula>
    </cfRule>
  </conditionalFormatting>
  <printOptions horizontalCentered="1"/>
  <pageMargins left="0.7" right="0.7" top="0.75" bottom="0.75" header="0.3" footer="0.3"/>
  <pageSetup scale="8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pageSetUpPr fitToPage="1"/>
  </sheetPr>
  <dimension ref="B1:T496"/>
  <sheetViews>
    <sheetView showGridLines="0" showRuler="0" topLeftCell="E118" zoomScale="115" zoomScaleNormal="115" workbookViewId="0">
      <selection activeCell="C63" sqref="C63"/>
    </sheetView>
  </sheetViews>
  <sheetFormatPr defaultColWidth="9.109375" defaultRowHeight="13.8" x14ac:dyDescent="0.3"/>
  <cols>
    <col min="1" max="1" width="5.44140625" style="96" customWidth="1"/>
    <col min="2" max="2" width="26.44140625" style="96" customWidth="1"/>
    <col min="3" max="4" width="13.33203125" style="96" customWidth="1"/>
    <col min="5" max="5" width="14.88671875" style="96" bestFit="1" customWidth="1"/>
    <col min="6" max="6" width="13.33203125" style="96" customWidth="1"/>
    <col min="7" max="7" width="3" style="96" customWidth="1"/>
    <col min="8" max="8" width="11" style="87" customWidth="1"/>
    <col min="9" max="9" width="11" style="440" customWidth="1"/>
    <col min="10" max="10" width="20.33203125" style="87" customWidth="1"/>
    <col min="11" max="11" width="25.88671875" style="87" bestFit="1" customWidth="1"/>
    <col min="12" max="12" width="22.6640625" style="87" bestFit="1" customWidth="1"/>
    <col min="13" max="13" width="11" style="87" customWidth="1"/>
    <col min="14" max="15" width="11" style="99" customWidth="1"/>
    <col min="16" max="16" width="11" style="440" customWidth="1"/>
    <col min="17" max="17" width="11" style="436" customWidth="1"/>
    <col min="18" max="18" width="23.44140625" style="440" customWidth="1"/>
    <col min="19" max="19" width="10.44140625" style="191" bestFit="1" customWidth="1"/>
    <col min="20" max="20" width="9.109375" style="191"/>
    <col min="21" max="16384" width="9.109375" style="96"/>
  </cols>
  <sheetData>
    <row r="1" spans="2:18" x14ac:dyDescent="0.3">
      <c r="C1" s="420"/>
      <c r="D1" s="420"/>
      <c r="E1" s="420"/>
      <c r="F1" s="420"/>
      <c r="G1" s="420"/>
      <c r="H1" s="421" t="s">
        <v>795</v>
      </c>
      <c r="I1" s="423"/>
      <c r="J1" s="421"/>
      <c r="K1" s="421"/>
      <c r="L1" s="422"/>
      <c r="M1" s="422" t="s">
        <v>440</v>
      </c>
      <c r="N1" s="432">
        <f ca="1">NOW()</f>
        <v>44534.888377546296</v>
      </c>
      <c r="O1" s="432"/>
      <c r="P1" s="437"/>
      <c r="Q1" s="434"/>
      <c r="R1" s="437"/>
    </row>
    <row r="2" spans="2:18" ht="27.6" x14ac:dyDescent="0.3">
      <c r="B2" s="420"/>
      <c r="C2" s="420"/>
      <c r="D2" s="420"/>
      <c r="E2" s="420"/>
      <c r="F2" s="420"/>
      <c r="G2" s="420"/>
      <c r="H2" s="303" t="s">
        <v>12</v>
      </c>
      <c r="I2" s="438" t="s">
        <v>1</v>
      </c>
      <c r="J2" s="303" t="s">
        <v>409</v>
      </c>
      <c r="K2" s="303" t="s">
        <v>2</v>
      </c>
      <c r="L2" s="303" t="s">
        <v>4</v>
      </c>
      <c r="M2" s="303" t="s">
        <v>21</v>
      </c>
      <c r="N2" s="450" t="s">
        <v>11</v>
      </c>
      <c r="O2" s="433" t="s">
        <v>407</v>
      </c>
      <c r="P2" s="438" t="s">
        <v>406</v>
      </c>
      <c r="Q2" s="435" t="s">
        <v>408</v>
      </c>
      <c r="R2" s="438" t="s">
        <v>625</v>
      </c>
    </row>
    <row r="3" spans="2:18" ht="14.4" customHeight="1" x14ac:dyDescent="0.3">
      <c r="B3" s="420"/>
      <c r="C3" s="420"/>
      <c r="D3" s="420"/>
      <c r="E3" s="420"/>
      <c r="F3" s="420"/>
      <c r="G3" s="420"/>
      <c r="H3" s="286"/>
      <c r="I3" s="383">
        <v>43435</v>
      </c>
      <c r="J3" s="285" t="s">
        <v>5</v>
      </c>
      <c r="K3" s="285"/>
      <c r="L3" s="285" t="s">
        <v>5</v>
      </c>
      <c r="M3" s="446"/>
      <c r="N3" s="451">
        <v>13020.217999999993</v>
      </c>
      <c r="O3" s="452">
        <v>13020.217999999993</v>
      </c>
      <c r="P3" s="383">
        <v>43435</v>
      </c>
      <c r="Q3" s="452">
        <v>13020.217999999993</v>
      </c>
      <c r="R3" s="376"/>
    </row>
    <row r="4" spans="2:18" ht="14.4" customHeight="1" x14ac:dyDescent="0.3">
      <c r="B4" s="420"/>
      <c r="C4" s="420"/>
      <c r="D4" s="420"/>
      <c r="E4" s="420"/>
      <c r="F4" s="420"/>
      <c r="G4" s="420"/>
      <c r="H4" s="286"/>
      <c r="I4" s="383">
        <v>43435</v>
      </c>
      <c r="J4" s="285" t="s">
        <v>55</v>
      </c>
      <c r="K4" s="285"/>
      <c r="L4" s="285" t="s">
        <v>55</v>
      </c>
      <c r="M4" s="446">
        <v>3000</v>
      </c>
      <c r="N4" s="451"/>
      <c r="O4" s="451">
        <f>IF(ISBLANK(CkReg16_181517[[#This Row],[Withdrawal]]),O3+CkReg16_181517[[#This Row],[Deposit]],O3-CkReg16_181517[[#This Row],[Withdrawal]])</f>
        <v>10020.217999999993</v>
      </c>
      <c r="P4" s="383">
        <v>43435</v>
      </c>
      <c r="Q4" s="452">
        <v>13020.217999999993</v>
      </c>
      <c r="R4" s="376"/>
    </row>
    <row r="5" spans="2:18" ht="14.4" customHeight="1" x14ac:dyDescent="0.3">
      <c r="B5" s="420"/>
      <c r="C5" s="420"/>
      <c r="D5" s="420"/>
      <c r="E5" s="420"/>
      <c r="F5" s="420"/>
      <c r="G5" s="420"/>
      <c r="H5" s="286"/>
      <c r="I5" s="383">
        <v>43435</v>
      </c>
      <c r="J5" s="285" t="s">
        <v>56</v>
      </c>
      <c r="K5" s="285"/>
      <c r="L5" s="285" t="s">
        <v>56</v>
      </c>
      <c r="M5" s="446">
        <v>4000</v>
      </c>
      <c r="N5" s="451"/>
      <c r="O5" s="451">
        <f>IF(ISBLANK(CkReg16_181517[[#This Row],[Withdrawal]]),O4+CkReg16_181517[[#This Row],[Deposit]],O4-CkReg16_181517[[#This Row],[Withdrawal]])</f>
        <v>6020.2179999999935</v>
      </c>
      <c r="P5" s="383">
        <v>43435</v>
      </c>
      <c r="Q5" s="452">
        <v>13020.217999999993</v>
      </c>
      <c r="R5" s="376"/>
    </row>
    <row r="6" spans="2:18" ht="14.4" customHeight="1" x14ac:dyDescent="0.3">
      <c r="B6" s="420"/>
      <c r="C6" s="420"/>
      <c r="D6" s="420"/>
      <c r="E6" s="420"/>
      <c r="F6" s="420"/>
      <c r="G6" s="420"/>
      <c r="H6" s="286"/>
      <c r="I6" s="383">
        <v>43435</v>
      </c>
      <c r="J6" s="285" t="s">
        <v>391</v>
      </c>
      <c r="K6" s="285"/>
      <c r="L6" s="285" t="s">
        <v>703</v>
      </c>
      <c r="M6" s="446">
        <v>1715</v>
      </c>
      <c r="N6" s="451"/>
      <c r="O6" s="451">
        <f>IF(ISBLANK(CkReg16_181517[[#This Row],[Withdrawal]]),O5+CkReg16_181517[[#This Row],[Deposit]],O5-CkReg16_181517[[#This Row],[Withdrawal]])</f>
        <v>4305.2179999999935</v>
      </c>
      <c r="P6" s="383">
        <v>43435</v>
      </c>
      <c r="Q6" s="452">
        <v>13020.217999999993</v>
      </c>
      <c r="R6" s="376"/>
    </row>
    <row r="7" spans="2:18" ht="14.4" customHeight="1" x14ac:dyDescent="0.3">
      <c r="B7" s="420"/>
      <c r="C7" s="420"/>
      <c r="D7" s="420"/>
      <c r="E7" s="420"/>
      <c r="F7" s="420"/>
      <c r="G7" s="420"/>
      <c r="H7" s="286">
        <v>3235</v>
      </c>
      <c r="I7" s="383">
        <v>43435</v>
      </c>
      <c r="J7" s="285" t="s">
        <v>796</v>
      </c>
      <c r="K7" s="285" t="s">
        <v>738</v>
      </c>
      <c r="L7" s="285" t="s">
        <v>43</v>
      </c>
      <c r="M7" s="446">
        <v>75</v>
      </c>
      <c r="N7" s="451"/>
      <c r="O7" s="451">
        <f>IF(ISBLANK(CkReg16_181517[[#This Row],[Withdrawal]]),O6+CkReg16_181517[[#This Row],[Deposit]],O6-CkReg16_181517[[#This Row],[Withdrawal]])</f>
        <v>4230.2179999999935</v>
      </c>
      <c r="P7" s="374">
        <v>43458</v>
      </c>
      <c r="Q7" s="457">
        <f>IF(ISBLANK(CkReg16_181517[[#This Row],[Withdrawal]]),Q6+CkReg16_181517[[#This Row],[Deposit]],Q6-CkReg16_181517[[#This Row],[Withdrawal]])</f>
        <v>12945.217999999993</v>
      </c>
      <c r="R7" s="376"/>
    </row>
    <row r="8" spans="2:18" ht="14.4" customHeight="1" x14ac:dyDescent="0.3">
      <c r="B8" s="420"/>
      <c r="C8" s="420"/>
      <c r="D8" s="420"/>
      <c r="E8" s="420"/>
      <c r="F8" s="420"/>
      <c r="G8" s="420"/>
      <c r="H8" s="286">
        <v>3236</v>
      </c>
      <c r="I8" s="383">
        <v>43435</v>
      </c>
      <c r="J8" s="285" t="s">
        <v>797</v>
      </c>
      <c r="K8" s="285" t="s">
        <v>798</v>
      </c>
      <c r="L8" s="285" t="s">
        <v>69</v>
      </c>
      <c r="M8" s="446">
        <v>200</v>
      </c>
      <c r="N8" s="451"/>
      <c r="O8" s="451">
        <f>IF(ISBLANK(CkReg16_181517[[#This Row],[Withdrawal]]),O7+CkReg16_181517[[#This Row],[Deposit]],O7-CkReg16_181517[[#This Row],[Withdrawal]])</f>
        <v>4030.2179999999935</v>
      </c>
      <c r="P8" s="374">
        <v>43489</v>
      </c>
      <c r="Q8" s="457">
        <f>IF(ISBLANK(CkReg16_181517[[#This Row],[Withdrawal]]),Q7+CkReg16_181517[[#This Row],[Deposit]],Q7-CkReg16_181517[[#This Row],[Withdrawal]])</f>
        <v>12745.217999999993</v>
      </c>
      <c r="R8" s="376"/>
    </row>
    <row r="9" spans="2:18" ht="14.4" customHeight="1" x14ac:dyDescent="0.3">
      <c r="B9" s="420"/>
      <c r="C9" s="420"/>
      <c r="D9" s="420"/>
      <c r="E9" s="420"/>
      <c r="F9" s="420"/>
      <c r="G9" s="420"/>
      <c r="H9" s="286"/>
      <c r="I9" s="383">
        <v>43435</v>
      </c>
      <c r="J9" s="285"/>
      <c r="K9" s="285" t="s">
        <v>32</v>
      </c>
      <c r="L9" s="285" t="s">
        <v>32</v>
      </c>
      <c r="M9" s="446"/>
      <c r="N9" s="451">
        <v>313</v>
      </c>
      <c r="O9" s="451">
        <f>IF(ISBLANK(CkReg16_181517[[#This Row],[Withdrawal]]),O8+CkReg16_181517[[#This Row],[Deposit]],O8-CkReg16_181517[[#This Row],[Withdrawal]])</f>
        <v>4343.2179999999935</v>
      </c>
      <c r="P9" s="374">
        <v>43437</v>
      </c>
      <c r="Q9" s="457">
        <f>IF(ISBLANK(CkReg16_181517[[#This Row],[Withdrawal]]),Q8+CkReg16_181517[[#This Row],[Deposit]],Q8-CkReg16_181517[[#This Row],[Withdrawal]])</f>
        <v>13058.217999999993</v>
      </c>
      <c r="R9" s="376"/>
    </row>
    <row r="10" spans="2:18" ht="14.4" customHeight="1" x14ac:dyDescent="0.3">
      <c r="B10" s="420"/>
      <c r="C10" s="420"/>
      <c r="D10" s="420"/>
      <c r="E10" s="420"/>
      <c r="F10" s="420"/>
      <c r="G10" s="420"/>
      <c r="H10" s="286"/>
      <c r="I10" s="383">
        <v>43465</v>
      </c>
      <c r="J10" s="285"/>
      <c r="K10" s="285" t="s">
        <v>799</v>
      </c>
      <c r="L10" s="285" t="s">
        <v>33</v>
      </c>
      <c r="M10" s="446"/>
      <c r="N10" s="451">
        <v>150.5</v>
      </c>
      <c r="O10" s="451">
        <f>IF(ISBLANK(CkReg16_181517[[#This Row],[Withdrawal]]),O9+CkReg16_181517[[#This Row],[Deposit]],O9-CkReg16_181517[[#This Row],[Withdrawal]])</f>
        <v>4493.7179999999935</v>
      </c>
      <c r="P10" s="376">
        <v>43467</v>
      </c>
      <c r="Q10" s="457">
        <f>IF(ISBLANK(CkReg16_181517[[#This Row],[Withdrawal]]),Q9+CkReg16_181517[[#This Row],[Deposit]],Q9-CkReg16_181517[[#This Row],[Withdrawal]])</f>
        <v>13208.717999999993</v>
      </c>
      <c r="R10" s="376"/>
    </row>
    <row r="11" spans="2:18" ht="14.4" customHeight="1" x14ac:dyDescent="0.3">
      <c r="B11" s="420"/>
      <c r="C11" s="420"/>
      <c r="D11" s="420"/>
      <c r="E11" s="420"/>
      <c r="F11" s="420"/>
      <c r="G11" s="420"/>
      <c r="H11" s="286"/>
      <c r="I11" s="383">
        <v>43465</v>
      </c>
      <c r="J11" s="285"/>
      <c r="K11" s="285" t="s">
        <v>800</v>
      </c>
      <c r="L11" s="285" t="s">
        <v>33</v>
      </c>
      <c r="M11" s="446"/>
      <c r="N11" s="451">
        <v>212</v>
      </c>
      <c r="O11" s="451">
        <f>IF(ISBLANK(CkReg16_181517[[#This Row],[Withdrawal]]),O10+CkReg16_181517[[#This Row],[Deposit]],O10-CkReg16_181517[[#This Row],[Withdrawal]])</f>
        <v>4705.7179999999935</v>
      </c>
      <c r="P11" s="376">
        <v>43467</v>
      </c>
      <c r="Q11" s="457">
        <f>IF(ISBLANK(CkReg16_181517[[#This Row],[Withdrawal]]),Q10+CkReg16_181517[[#This Row],[Deposit]],Q10-CkReg16_181517[[#This Row],[Withdrawal]])</f>
        <v>13420.717999999993</v>
      </c>
      <c r="R11" s="376"/>
    </row>
    <row r="12" spans="2:18" ht="14.4" customHeight="1" x14ac:dyDescent="0.3">
      <c r="B12" s="420"/>
      <c r="C12" s="420"/>
      <c r="D12" s="420"/>
      <c r="E12" s="420"/>
      <c r="F12" s="420"/>
      <c r="G12" s="420"/>
      <c r="H12" s="286"/>
      <c r="I12" s="383">
        <v>43465</v>
      </c>
      <c r="J12" s="285"/>
      <c r="K12" s="285"/>
      <c r="L12" s="285" t="s">
        <v>91</v>
      </c>
      <c r="M12" s="446">
        <v>-0.56000000000000005</v>
      </c>
      <c r="N12" s="451"/>
      <c r="O12" s="451">
        <f>IF(ISBLANK(CkReg16_181517[[#This Row],[Withdrawal]]),O11+CkReg16_181517[[#This Row],[Deposit]],O11-CkReg16_181517[[#This Row],[Withdrawal]])</f>
        <v>4706.2779999999939</v>
      </c>
      <c r="P12" s="376">
        <v>43465</v>
      </c>
      <c r="Q12" s="457">
        <f>IF(ISBLANK(CkReg16_181517[[#This Row],[Withdrawal]]),Q11+CkReg16_181517[[#This Row],[Deposit]],Q11-CkReg16_181517[[#This Row],[Withdrawal]])</f>
        <v>13421.277999999993</v>
      </c>
      <c r="R12" s="376">
        <v>43465</v>
      </c>
    </row>
    <row r="13" spans="2:18" ht="13.65" customHeight="1" x14ac:dyDescent="0.3">
      <c r="B13" s="420"/>
      <c r="C13" s="420"/>
      <c r="D13" s="420"/>
      <c r="E13" s="420"/>
      <c r="F13" s="420"/>
      <c r="G13" s="420"/>
      <c r="H13" s="286"/>
      <c r="I13" s="383">
        <v>43496</v>
      </c>
      <c r="J13" s="285"/>
      <c r="K13" s="285"/>
      <c r="L13" s="285" t="s">
        <v>91</v>
      </c>
      <c r="M13" s="446">
        <v>-0.56999999999999995</v>
      </c>
      <c r="N13" s="451"/>
      <c r="O13" s="451">
        <f>IF(ISBLANK(CkReg16_181517[[#This Row],[Withdrawal]]),O12+CkReg16_181517[[#This Row],[Deposit]],O12-CkReg16_181517[[#This Row],[Withdrawal]])</f>
        <v>4706.8479999999936</v>
      </c>
      <c r="P13" s="376">
        <v>43496</v>
      </c>
      <c r="Q13" s="457">
        <f>IF(ISBLANK(CkReg16_181517[[#This Row],[Withdrawal]]),Q12+CkReg16_181517[[#This Row],[Deposit]],Q12-CkReg16_181517[[#This Row],[Withdrawal]])</f>
        <v>13421.847999999993</v>
      </c>
      <c r="R13" s="376">
        <v>43496</v>
      </c>
    </row>
    <row r="14" spans="2:18" ht="14.4" customHeight="1" x14ac:dyDescent="0.3">
      <c r="B14" s="424" t="s">
        <v>439</v>
      </c>
      <c r="C14" s="425"/>
      <c r="D14" s="426" t="s">
        <v>440</v>
      </c>
      <c r="E14" s="426"/>
      <c r="F14" s="427">
        <f ca="1">NOW()</f>
        <v>44534.888377546296</v>
      </c>
      <c r="G14" s="420"/>
      <c r="H14" s="286">
        <v>3237</v>
      </c>
      <c r="I14" s="383">
        <v>43498</v>
      </c>
      <c r="J14" s="285" t="s">
        <v>93</v>
      </c>
      <c r="K14" s="285" t="s">
        <v>39</v>
      </c>
      <c r="L14" s="285" t="s">
        <v>39</v>
      </c>
      <c r="M14" s="446">
        <v>34.32</v>
      </c>
      <c r="N14" s="451"/>
      <c r="O14" s="451">
        <f>IF(ISBLANK(CkReg16_181517[[#This Row],[Withdrawal]]),O13+CkReg16_181517[[#This Row],[Deposit]],O13-CkReg16_181517[[#This Row],[Withdrawal]])</f>
        <v>4672.5279999999939</v>
      </c>
      <c r="P14" s="376">
        <v>43501</v>
      </c>
      <c r="Q14" s="457">
        <f>IF(ISBLANK(CkReg16_181517[[#This Row],[Withdrawal]]),Q13+CkReg16_181517[[#This Row],[Deposit]],Q13-CkReg16_181517[[#This Row],[Withdrawal]])</f>
        <v>13387.527999999993</v>
      </c>
      <c r="R14" s="376"/>
    </row>
    <row r="15" spans="2:18" ht="14.4" customHeight="1" x14ac:dyDescent="0.3">
      <c r="B15" s="91"/>
      <c r="C15" s="91"/>
      <c r="D15" s="420"/>
      <c r="E15" s="420"/>
      <c r="F15" s="428" t="s">
        <v>142</v>
      </c>
      <c r="G15" s="428"/>
      <c r="H15" s="286">
        <v>3238</v>
      </c>
      <c r="I15" s="383">
        <v>43498</v>
      </c>
      <c r="J15" s="285" t="s">
        <v>801</v>
      </c>
      <c r="K15" s="285" t="s">
        <v>802</v>
      </c>
      <c r="L15" s="285" t="s">
        <v>34</v>
      </c>
      <c r="M15" s="446">
        <v>75</v>
      </c>
      <c r="N15" s="451"/>
      <c r="O15" s="451">
        <f>IF(ISBLANK(CkReg16_181517[[#This Row],[Withdrawal]]),O14+CkReg16_181517[[#This Row],[Deposit]],O14-CkReg16_181517[[#This Row],[Withdrawal]])</f>
        <v>4597.5279999999939</v>
      </c>
      <c r="P15" s="376">
        <v>43507</v>
      </c>
      <c r="Q15" s="457">
        <f>IF(ISBLANK(CkReg16_181517[[#This Row],[Withdrawal]]),Q14+CkReg16_181517[[#This Row],[Deposit]],Q14-CkReg16_181517[[#This Row],[Withdrawal]])</f>
        <v>13312.527999999993</v>
      </c>
      <c r="R15" s="376"/>
    </row>
    <row r="16" spans="2:18" ht="14.4" customHeight="1" x14ac:dyDescent="0.3">
      <c r="B16" s="420"/>
      <c r="C16" s="420"/>
      <c r="D16" s="420"/>
      <c r="E16" s="420"/>
      <c r="F16" s="420"/>
      <c r="G16" s="420"/>
      <c r="H16" s="286">
        <v>3239</v>
      </c>
      <c r="I16" s="383">
        <v>43498</v>
      </c>
      <c r="J16" s="285" t="s">
        <v>156</v>
      </c>
      <c r="K16" s="285" t="s">
        <v>593</v>
      </c>
      <c r="L16" s="285" t="s">
        <v>34</v>
      </c>
      <c r="M16" s="446">
        <v>367.14</v>
      </c>
      <c r="N16" s="451"/>
      <c r="O16" s="451">
        <f>IF(ISBLANK(CkReg16_181517[[#This Row],[Withdrawal]]),O15+CkReg16_181517[[#This Row],[Deposit]],O15-CkReg16_181517[[#This Row],[Withdrawal]])</f>
        <v>4230.3879999999936</v>
      </c>
      <c r="P16" s="376">
        <v>43502</v>
      </c>
      <c r="Q16" s="457">
        <f>IF(ISBLANK(CkReg16_181517[[#This Row],[Withdrawal]]),Q15+CkReg16_181517[[#This Row],[Deposit]],Q15-CkReg16_181517[[#This Row],[Withdrawal]])</f>
        <v>12945.387999999994</v>
      </c>
      <c r="R16" s="376"/>
    </row>
    <row r="17" spans="2:18" x14ac:dyDescent="0.3">
      <c r="B17" s="91" t="s">
        <v>4</v>
      </c>
      <c r="C17" s="93" t="s">
        <v>438</v>
      </c>
      <c r="D17" s="93" t="s">
        <v>75</v>
      </c>
      <c r="E17" s="93" t="s">
        <v>871</v>
      </c>
      <c r="F17" s="93" t="s">
        <v>462</v>
      </c>
      <c r="H17" s="286">
        <v>3240</v>
      </c>
      <c r="I17" s="383">
        <v>43498</v>
      </c>
      <c r="J17" s="285" t="s">
        <v>92</v>
      </c>
      <c r="K17" s="285" t="s">
        <v>738</v>
      </c>
      <c r="L17" s="285" t="s">
        <v>43</v>
      </c>
      <c r="M17" s="446">
        <v>75</v>
      </c>
      <c r="N17" s="451"/>
      <c r="O17" s="451">
        <f>IF(ISBLANK(CkReg16_181517[[#This Row],[Withdrawal]]),O16+CkReg16_181517[[#This Row],[Deposit]],O16-CkReg16_181517[[#This Row],[Withdrawal]])</f>
        <v>4155.3879999999936</v>
      </c>
      <c r="P17" s="376">
        <v>43500</v>
      </c>
      <c r="Q17" s="457">
        <f>IF(ISBLANK(CkReg16_181517[[#This Row],[Withdrawal]]),Q16+CkReg16_181517[[#This Row],[Deposit]],Q16-CkReg16_181517[[#This Row],[Withdrawal]])</f>
        <v>12870.387999999994</v>
      </c>
      <c r="R17" s="376"/>
    </row>
    <row r="18" spans="2:18" x14ac:dyDescent="0.3">
      <c r="B18" s="94" t="s">
        <v>5</v>
      </c>
      <c r="C18" s="95">
        <v>13020.217999999993</v>
      </c>
      <c r="D18" s="95">
        <v>13020.217999999993</v>
      </c>
      <c r="E18" s="95">
        <f>+CategoryTable81210141618[[#This Row],[Budget]]</f>
        <v>13020.217999999993</v>
      </c>
      <c r="F18" s="95">
        <f>-CategoryTable81210141618[[#This Row],[Amended Budget]]+CategoryTable81210141618[[#This Row],[Actual to date]]</f>
        <v>0</v>
      </c>
      <c r="G18" s="429"/>
      <c r="H18" s="286">
        <v>3241</v>
      </c>
      <c r="I18" s="383">
        <v>43498</v>
      </c>
      <c r="J18" s="285" t="s">
        <v>80</v>
      </c>
      <c r="K18" s="285" t="s">
        <v>803</v>
      </c>
      <c r="L18" s="285" t="s">
        <v>58</v>
      </c>
      <c r="M18" s="446">
        <v>750</v>
      </c>
      <c r="N18" s="451"/>
      <c r="O18" s="451">
        <f>IF(ISBLANK(CkReg16_181517[[#This Row],[Withdrawal]]),O17+CkReg16_181517[[#This Row],[Deposit]],O17-CkReg16_181517[[#This Row],[Withdrawal]])</f>
        <v>3405.3879999999936</v>
      </c>
      <c r="P18" s="376">
        <v>43564</v>
      </c>
      <c r="Q18" s="457">
        <f>IF(ISBLANK(CkReg16_181517[[#This Row],[Withdrawal]]),Q17+CkReg16_181517[[#This Row],[Deposit]],Q17-CkReg16_181517[[#This Row],[Withdrawal]])</f>
        <v>12120.387999999994</v>
      </c>
      <c r="R18" s="376"/>
    </row>
    <row r="19" spans="2:18" x14ac:dyDescent="0.3">
      <c r="B19" s="94" t="s">
        <v>32</v>
      </c>
      <c r="C19" s="95">
        <f>SUMIF(CkReg16_181517[Category],"=" &amp;CategoryTable81210141618[[#This Row],[Category]],CkReg16_181517[Deposit])</f>
        <v>1584</v>
      </c>
      <c r="D19" s="95">
        <v>1000</v>
      </c>
      <c r="E19" s="95">
        <f>+CategoryTable81210141618[[#This Row],[Budget]]</f>
        <v>1000</v>
      </c>
      <c r="F19" s="95">
        <f>-CategoryTable81210141618[[#This Row],[Amended Budget]]+CategoryTable81210141618[[#This Row],[Actual to date]]</f>
        <v>584</v>
      </c>
      <c r="G19" s="93"/>
      <c r="H19" s="286">
        <v>3242</v>
      </c>
      <c r="I19" s="383">
        <v>43498</v>
      </c>
      <c r="J19" s="285" t="s">
        <v>79</v>
      </c>
      <c r="K19" s="285" t="s">
        <v>804</v>
      </c>
      <c r="L19" s="285" t="s">
        <v>59</v>
      </c>
      <c r="M19" s="446">
        <v>500</v>
      </c>
      <c r="N19" s="451"/>
      <c r="O19" s="451">
        <f>IF(ISBLANK(CkReg16_181517[[#This Row],[Withdrawal]]),O18+CkReg16_181517[[#This Row],[Deposit]],O18-CkReg16_181517[[#This Row],[Withdrawal]])</f>
        <v>2905.3879999999936</v>
      </c>
      <c r="P19" s="376">
        <v>43515</v>
      </c>
      <c r="Q19" s="457">
        <f>IF(ISBLANK(CkReg16_181517[[#This Row],[Withdrawal]]),Q18+CkReg16_181517[[#This Row],[Deposit]],Q18-CkReg16_181517[[#This Row],[Withdrawal]])</f>
        <v>11620.387999999994</v>
      </c>
      <c r="R19" s="376"/>
    </row>
    <row r="20" spans="2:18" x14ac:dyDescent="0.3">
      <c r="B20" s="94" t="s">
        <v>572</v>
      </c>
      <c r="C20" s="95">
        <f>-(SUMIF(CkReg16_181517[Category],"=" &amp;CategoryTable81210141618[[#This Row],[Category]],CkReg16_181517[Withdrawal]))</f>
        <v>0</v>
      </c>
      <c r="D20" s="95">
        <v>0</v>
      </c>
      <c r="E20" s="95">
        <f>+CategoryTable81210141618[[#This Row],[Budget]]</f>
        <v>0</v>
      </c>
      <c r="F20" s="95">
        <f>-CategoryTable81210141618[[#This Row],[Amended Budget]]+CategoryTable81210141618[[#This Row],[Actual to date]]</f>
        <v>0</v>
      </c>
      <c r="G20" s="95"/>
      <c r="H20" s="286">
        <v>3243</v>
      </c>
      <c r="I20" s="383">
        <v>43498</v>
      </c>
      <c r="J20" s="285" t="s">
        <v>782</v>
      </c>
      <c r="K20" s="285" t="s">
        <v>805</v>
      </c>
      <c r="L20" s="285" t="s">
        <v>34</v>
      </c>
      <c r="M20" s="446">
        <v>500</v>
      </c>
      <c r="N20" s="451"/>
      <c r="O20" s="451">
        <f>IF(ISBLANK(CkReg16_181517[[#This Row],[Withdrawal]]),O19+CkReg16_181517[[#This Row],[Deposit]],O19-CkReg16_181517[[#This Row],[Withdrawal]])</f>
        <v>2405.3879999999936</v>
      </c>
      <c r="P20" s="376">
        <v>43532</v>
      </c>
      <c r="Q20" s="457">
        <f>IF(ISBLANK(CkReg16_181517[[#This Row],[Withdrawal]]),Q19+CkReg16_181517[[#This Row],[Deposit]],Q19-CkReg16_181517[[#This Row],[Withdrawal]])</f>
        <v>11120.387999999994</v>
      </c>
      <c r="R20" s="376"/>
    </row>
    <row r="21" spans="2:18" x14ac:dyDescent="0.3">
      <c r="B21" s="94" t="s">
        <v>571</v>
      </c>
      <c r="C21" s="95">
        <f>SUMIF(CkReg16_181517[Category],"=" &amp;CategoryTable81210141618[[#This Row],[Category]],CkReg16_181517[Deposit])</f>
        <v>0</v>
      </c>
      <c r="D21" s="95">
        <v>0</v>
      </c>
      <c r="E21" s="95">
        <f>+CategoryTable81210141618[[#This Row],[Budget]]</f>
        <v>0</v>
      </c>
      <c r="F21" s="95">
        <f>-CategoryTable81210141618[[#This Row],[Amended Budget]]+CategoryTable81210141618[[#This Row],[Actual to date]]</f>
        <v>0</v>
      </c>
      <c r="G21" s="95"/>
      <c r="H21" s="286">
        <v>3244</v>
      </c>
      <c r="I21" s="383">
        <v>43498</v>
      </c>
      <c r="J21" s="285" t="s">
        <v>133</v>
      </c>
      <c r="K21" s="285" t="s">
        <v>806</v>
      </c>
      <c r="L21" s="285" t="s">
        <v>51</v>
      </c>
      <c r="M21" s="446">
        <v>500</v>
      </c>
      <c r="N21" s="451"/>
      <c r="O21" s="451">
        <f>IF(ISBLANK(CkReg16_181517[[#This Row],[Withdrawal]]),O20+CkReg16_181517[[#This Row],[Deposit]],O20-CkReg16_181517[[#This Row],[Withdrawal]])</f>
        <v>1905.3879999999936</v>
      </c>
      <c r="P21" s="376">
        <v>43501</v>
      </c>
      <c r="Q21" s="457">
        <f>IF(ISBLANK(CkReg16_181517[[#This Row],[Withdrawal]]),Q20+CkReg16_181517[[#This Row],[Deposit]],Q20-CkReg16_181517[[#This Row],[Withdrawal]])</f>
        <v>10620.387999999994</v>
      </c>
      <c r="R21" s="376"/>
    </row>
    <row r="22" spans="2:18" x14ac:dyDescent="0.3">
      <c r="B22" s="94" t="s">
        <v>33</v>
      </c>
      <c r="C22" s="95">
        <f>SUMIF(CkReg16_181517[Category],"=" &amp;CategoryTable81210141618[[#This Row],[Category]],CkReg16_181517[Deposit])</f>
        <v>1428.56</v>
      </c>
      <c r="D22" s="95">
        <v>1000</v>
      </c>
      <c r="E22" s="95">
        <f>+CategoryTable81210141618[[#This Row],[Budget]]</f>
        <v>1000</v>
      </c>
      <c r="F22" s="95">
        <f>-CategoryTable81210141618[[#This Row],[Amended Budget]]+CategoryTable81210141618[[#This Row],[Actual to date]]</f>
        <v>428.55999999999995</v>
      </c>
      <c r="G22" s="95"/>
      <c r="H22" s="286"/>
      <c r="I22" s="383">
        <v>43498</v>
      </c>
      <c r="J22" s="285"/>
      <c r="K22" s="285" t="s">
        <v>32</v>
      </c>
      <c r="L22" s="285" t="s">
        <v>32</v>
      </c>
      <c r="M22" s="446"/>
      <c r="N22" s="451">
        <v>190</v>
      </c>
      <c r="O22" s="451">
        <f>IF(ISBLANK(CkReg16_181517[[#This Row],[Withdrawal]]),O21+CkReg16_181517[[#This Row],[Deposit]],O21-CkReg16_181517[[#This Row],[Withdrawal]])</f>
        <v>2095.3879999999936</v>
      </c>
      <c r="P22" s="376">
        <v>43500</v>
      </c>
      <c r="Q22" s="457">
        <f>IF(ISBLANK(CkReg16_181517[[#This Row],[Withdrawal]]),Q21+CkReg16_181517[[#This Row],[Deposit]],Q21-CkReg16_181517[[#This Row],[Withdrawal]])</f>
        <v>10810.387999999994</v>
      </c>
      <c r="R22" s="376"/>
    </row>
    <row r="23" spans="2:18" x14ac:dyDescent="0.3">
      <c r="B23" s="94" t="s">
        <v>34</v>
      </c>
      <c r="C23" s="95">
        <f>-(SUMIF(CkReg16_181517[Category],"=" &amp;CategoryTable81210141618[[#This Row],[Category]],CkReg16_181517[Withdrawal]))</f>
        <v>-1942.1399999999999</v>
      </c>
      <c r="D23" s="95">
        <v>-1500</v>
      </c>
      <c r="E23" s="95">
        <f>+CategoryTable81210141618[[#This Row],[Budget]]</f>
        <v>-1500</v>
      </c>
      <c r="F23" s="95">
        <f>-CategoryTable81210141618[[#This Row],[Amended Budget]]+CategoryTable81210141618[[#This Row],[Actual to date]]</f>
        <v>-442.13999999999987</v>
      </c>
      <c r="G23" s="95"/>
      <c r="H23" s="286">
        <v>3245</v>
      </c>
      <c r="I23" s="383">
        <v>43515</v>
      </c>
      <c r="J23" s="285" t="s">
        <v>93</v>
      </c>
      <c r="K23" s="285" t="s">
        <v>807</v>
      </c>
      <c r="L23" s="285" t="s">
        <v>70</v>
      </c>
      <c r="M23" s="446">
        <v>86.9</v>
      </c>
      <c r="N23" s="451"/>
      <c r="O23" s="451">
        <f>IF(ISBLANK(CkReg16_181517[[#This Row],[Withdrawal]]),O22+CkReg16_181517[[#This Row],[Deposit]],O22-CkReg16_181517[[#This Row],[Withdrawal]])</f>
        <v>2008.4879999999935</v>
      </c>
      <c r="P23" s="376">
        <v>43523</v>
      </c>
      <c r="Q23" s="457">
        <f>IF(ISBLANK(CkReg16_181517[[#This Row],[Withdrawal]]),Q22+CkReg16_181517[[#This Row],[Deposit]],Q22-CkReg16_181517[[#This Row],[Withdrawal]])</f>
        <v>10723.487999999994</v>
      </c>
      <c r="R23" s="376"/>
    </row>
    <row r="24" spans="2:18" x14ac:dyDescent="0.3">
      <c r="B24" s="94" t="s">
        <v>37</v>
      </c>
      <c r="C24" s="95">
        <f>-(SUMIF(CkReg16_181517[Category],"=" &amp;CategoryTable81210141618[[#This Row],[Category]],CkReg16_181517[Withdrawal]))</f>
        <v>0</v>
      </c>
      <c r="D24" s="95">
        <v>-50</v>
      </c>
      <c r="E24" s="95">
        <f>+CategoryTable81210141618[[#This Row],[Budget]]</f>
        <v>-50</v>
      </c>
      <c r="F24" s="95">
        <f>-CategoryTable81210141618[[#This Row],[Amended Budget]]+CategoryTable81210141618[[#This Row],[Actual to date]]</f>
        <v>50</v>
      </c>
      <c r="G24" s="95"/>
      <c r="H24" s="286"/>
      <c r="I24" s="383">
        <v>43524</v>
      </c>
      <c r="J24" s="285"/>
      <c r="K24" s="285"/>
      <c r="L24" s="285" t="s">
        <v>91</v>
      </c>
      <c r="M24" s="446">
        <v>-0.48</v>
      </c>
      <c r="N24" s="451"/>
      <c r="O24" s="451">
        <f>IF(ISBLANK(CkReg16_181517[[#This Row],[Withdrawal]]),O23+CkReg16_181517[[#This Row],[Deposit]],O23-CkReg16_181517[[#This Row],[Withdrawal]])</f>
        <v>2008.9679999999935</v>
      </c>
      <c r="P24" s="376">
        <v>43524</v>
      </c>
      <c r="Q24" s="457">
        <f>IF(ISBLANK(CkReg16_181517[[#This Row],[Withdrawal]]),Q23+CkReg16_181517[[#This Row],[Deposit]],Q23-CkReg16_181517[[#This Row],[Withdrawal]])</f>
        <v>10723.967999999993</v>
      </c>
      <c r="R24" s="376">
        <v>43524</v>
      </c>
    </row>
    <row r="25" spans="2:18" x14ac:dyDescent="0.3">
      <c r="B25" s="94" t="s">
        <v>39</v>
      </c>
      <c r="C25" s="95">
        <f>-(SUMIF(CkReg16_181517[Category],"=" &amp;CategoryTable81210141618[[#This Row],[Category]],CkReg16_181517[Withdrawal]))</f>
        <v>-360.09000000000003</v>
      </c>
      <c r="D25" s="95">
        <v>-300</v>
      </c>
      <c r="E25" s="95">
        <f>+CategoryTable81210141618[[#This Row],[Budget]]</f>
        <v>-300</v>
      </c>
      <c r="F25" s="95">
        <f>-CategoryTable81210141618[[#This Row],[Amended Budget]]+CategoryTable81210141618[[#This Row],[Actual to date]]</f>
        <v>-60.090000000000032</v>
      </c>
      <c r="G25" s="95"/>
      <c r="H25" s="286"/>
      <c r="I25" s="383">
        <v>43540</v>
      </c>
      <c r="J25" s="285"/>
      <c r="K25" s="285" t="s">
        <v>808</v>
      </c>
      <c r="L25" s="285" t="s">
        <v>33</v>
      </c>
      <c r="M25" s="446"/>
      <c r="N25" s="451">
        <v>274</v>
      </c>
      <c r="O25" s="451">
        <f>IF(ISBLANK(CkReg16_181517[[#This Row],[Withdrawal]]),O24+CkReg16_181517[[#This Row],[Deposit]],O24-CkReg16_181517[[#This Row],[Withdrawal]])</f>
        <v>2282.9679999999935</v>
      </c>
      <c r="P25" s="376">
        <v>43542</v>
      </c>
      <c r="Q25" s="457">
        <f>IF(ISBLANK(CkReg16_181517[[#This Row],[Withdrawal]]),Q24+CkReg16_181517[[#This Row],[Deposit]],Q24-CkReg16_181517[[#This Row],[Withdrawal]])</f>
        <v>10997.967999999993</v>
      </c>
      <c r="R25" s="376"/>
    </row>
    <row r="26" spans="2:18" x14ac:dyDescent="0.3">
      <c r="B26" s="94" t="s">
        <v>40</v>
      </c>
      <c r="C26" s="95">
        <f>-(SUMIF(CkReg16_181517[Category],"=" &amp;CategoryTable81210141618[[#This Row],[Category]],CkReg16_181517[Withdrawal]))</f>
        <v>0</v>
      </c>
      <c r="D26" s="95">
        <v>-150</v>
      </c>
      <c r="E26" s="95">
        <v>0</v>
      </c>
      <c r="F26" s="95">
        <f>-CategoryTable81210141618[[#This Row],[Amended Budget]]+CategoryTable81210141618[[#This Row],[Actual to date]]</f>
        <v>0</v>
      </c>
      <c r="G26" s="95"/>
      <c r="H26" s="286"/>
      <c r="I26" s="383">
        <v>43540</v>
      </c>
      <c r="J26" s="285"/>
      <c r="K26" s="285" t="s">
        <v>809</v>
      </c>
      <c r="L26" s="285" t="s">
        <v>33</v>
      </c>
      <c r="M26" s="446"/>
      <c r="N26" s="451">
        <v>227</v>
      </c>
      <c r="O26" s="451">
        <f>IF(ISBLANK(CkReg16_181517[[#This Row],[Withdrawal]]),O25+CkReg16_181517[[#This Row],[Deposit]],O25-CkReg16_181517[[#This Row],[Withdrawal]])</f>
        <v>2509.9679999999935</v>
      </c>
      <c r="P26" s="376">
        <v>43542</v>
      </c>
      <c r="Q26" s="457">
        <f>IF(ISBLANK(CkReg16_181517[[#This Row],[Withdrawal]]),Q25+CkReg16_181517[[#This Row],[Deposit]],Q25-CkReg16_181517[[#This Row],[Withdrawal]])</f>
        <v>11224.967999999993</v>
      </c>
      <c r="R26" s="376"/>
    </row>
    <row r="27" spans="2:18" x14ac:dyDescent="0.3">
      <c r="B27" s="94" t="s">
        <v>91</v>
      </c>
      <c r="C27" s="95">
        <f>-(SUMIF(CkReg16_181517[Category],"=" &amp;CategoryTable81210141618[[#This Row],[Category]],CkReg16_181517[Withdrawal]))</f>
        <v>6.8599999999999994</v>
      </c>
      <c r="D27" s="95">
        <v>5</v>
      </c>
      <c r="E27" s="95">
        <f>+CategoryTable81210141618[[#This Row],[Budget]]</f>
        <v>5</v>
      </c>
      <c r="F27" s="95">
        <f>-CategoryTable81210141618[[#This Row],[Amended Budget]]+CategoryTable81210141618[[#This Row],[Actual to date]]</f>
        <v>1.8599999999999994</v>
      </c>
      <c r="G27" s="95"/>
      <c r="H27" s="286">
        <v>3246</v>
      </c>
      <c r="I27" s="383">
        <v>43543</v>
      </c>
      <c r="J27" s="285" t="s">
        <v>93</v>
      </c>
      <c r="K27" s="285" t="s">
        <v>810</v>
      </c>
      <c r="L27" s="285" t="s">
        <v>39</v>
      </c>
      <c r="M27" s="446">
        <v>49.81</v>
      </c>
      <c r="N27" s="451"/>
      <c r="O27" s="451">
        <f>IF(ISBLANK(CkReg16_181517[[#This Row],[Withdrawal]]),O26+CkReg16_181517[[#This Row],[Deposit]],O26-CkReg16_181517[[#This Row],[Withdrawal]])</f>
        <v>2460.1579999999935</v>
      </c>
      <c r="P27" s="376">
        <v>43551</v>
      </c>
      <c r="Q27" s="457">
        <f>IF(ISBLANK(CkReg16_181517[[#This Row],[Withdrawal]]),Q26+CkReg16_181517[[#This Row],[Deposit]],Q26-CkReg16_181517[[#This Row],[Withdrawal]])</f>
        <v>11175.157999999994</v>
      </c>
      <c r="R27" s="376"/>
    </row>
    <row r="28" spans="2:18" x14ac:dyDescent="0.3">
      <c r="B28" s="94" t="s">
        <v>43</v>
      </c>
      <c r="C28" s="95">
        <f>-(SUMIF(CkReg16_181517[Category],"=" &amp;CategoryTable81210141618[[#This Row],[Category]],CkReg16_181517[Withdrawal]))</f>
        <v>-520</v>
      </c>
      <c r="D28" s="95">
        <v>-450</v>
      </c>
      <c r="E28" s="95">
        <f>+CategoryTable81210141618[[#This Row],[Budget]]</f>
        <v>-450</v>
      </c>
      <c r="F28" s="95">
        <f>-CategoryTable81210141618[[#This Row],[Amended Budget]]+CategoryTable81210141618[[#This Row],[Actual to date]]</f>
        <v>-70</v>
      </c>
      <c r="G28" s="95"/>
      <c r="H28" s="286"/>
      <c r="I28" s="383">
        <v>43555</v>
      </c>
      <c r="J28" s="285"/>
      <c r="K28" s="285"/>
      <c r="L28" s="285" t="s">
        <v>91</v>
      </c>
      <c r="M28" s="446">
        <v>-0.5</v>
      </c>
      <c r="N28" s="451"/>
      <c r="O28" s="451">
        <f>IF(ISBLANK(CkReg16_181517[[#This Row],[Withdrawal]]),O27+CkReg16_181517[[#This Row],[Deposit]],O27-CkReg16_181517[[#This Row],[Withdrawal]])</f>
        <v>2460.6579999999935</v>
      </c>
      <c r="P28" s="376">
        <v>43551</v>
      </c>
      <c r="Q28" s="457">
        <f>IF(ISBLANK(CkReg16_181517[[#This Row],[Withdrawal]]),Q27+CkReg16_181517[[#This Row],[Deposit]],Q27-CkReg16_181517[[#This Row],[Withdrawal]])</f>
        <v>11175.657999999994</v>
      </c>
      <c r="R28" s="376">
        <v>43555</v>
      </c>
    </row>
    <row r="29" spans="2:18" x14ac:dyDescent="0.3">
      <c r="B29" s="94" t="s">
        <v>44</v>
      </c>
      <c r="C29" s="95">
        <f>-(SUMIF(CkReg16_181517[Category],"=" &amp;CategoryTable81210141618[[#This Row],[Category]],CkReg16_181517[Withdrawal]))</f>
        <v>0</v>
      </c>
      <c r="D29" s="95">
        <v>-300</v>
      </c>
      <c r="E29" s="95">
        <v>0</v>
      </c>
      <c r="F29" s="95">
        <f>-CategoryTable81210141618[[#This Row],[Amended Budget]]+CategoryTable81210141618[[#This Row],[Actual to date]]</f>
        <v>0</v>
      </c>
      <c r="G29" s="95"/>
      <c r="H29" s="286"/>
      <c r="I29" s="383">
        <v>43563</v>
      </c>
      <c r="J29" s="285" t="s">
        <v>819</v>
      </c>
      <c r="K29" s="285" t="s">
        <v>814</v>
      </c>
      <c r="L29" s="285" t="s">
        <v>61</v>
      </c>
      <c r="M29" s="446"/>
      <c r="N29" s="451">
        <v>184.77</v>
      </c>
      <c r="O29" s="451">
        <f>IF(ISBLANK(CkReg16_181517[[#This Row],[Withdrawal]]),O28+CkReg16_181517[[#This Row],[Deposit]],O28-CkReg16_181517[[#This Row],[Withdrawal]])</f>
        <v>2645.4279999999935</v>
      </c>
      <c r="P29" s="376">
        <v>43563</v>
      </c>
      <c r="Q29" s="457">
        <f>IF(ISBLANK(CkReg16_181517[[#This Row],[Withdrawal]]),Q28+CkReg16_181517[[#This Row],[Deposit]],Q28-CkReg16_181517[[#This Row],[Withdrawal]])</f>
        <v>11360.427999999994</v>
      </c>
      <c r="R29" s="376"/>
    </row>
    <row r="30" spans="2:18" x14ac:dyDescent="0.3">
      <c r="B30" s="94" t="s">
        <v>45</v>
      </c>
      <c r="C30" s="95">
        <f>-(SUMIF(CkReg16_181517[Category],"=" &amp;CategoryTable81210141618[[#This Row],[Category]],CkReg16_181517[Withdrawal]))</f>
        <v>-92</v>
      </c>
      <c r="D30" s="95">
        <v>-85</v>
      </c>
      <c r="E30" s="95">
        <f>+CategoryTable81210141618[[#This Row],[Budget]]</f>
        <v>-85</v>
      </c>
      <c r="F30" s="95">
        <f>-CategoryTable81210141618[[#This Row],[Amended Budget]]+CategoryTable81210141618[[#This Row],[Actual to date]]</f>
        <v>-7</v>
      </c>
      <c r="G30" s="95"/>
      <c r="H30" s="286">
        <v>3247</v>
      </c>
      <c r="I30" s="383">
        <v>43565</v>
      </c>
      <c r="J30" s="285" t="s">
        <v>811</v>
      </c>
      <c r="K30" s="285" t="s">
        <v>812</v>
      </c>
      <c r="L30" s="285" t="s">
        <v>45</v>
      </c>
      <c r="M30" s="446">
        <v>92</v>
      </c>
      <c r="N30" s="451"/>
      <c r="O30" s="451">
        <f>IF(ISBLANK(CkReg16_181517[[#This Row],[Withdrawal]]),O29+CkReg16_181517[[#This Row],[Deposit]],O29-CkReg16_181517[[#This Row],[Withdrawal]])</f>
        <v>2553.4279999999935</v>
      </c>
      <c r="P30" s="376">
        <v>43578</v>
      </c>
      <c r="Q30" s="457">
        <f>IF(ISBLANK(CkReg16_181517[[#This Row],[Withdrawal]]),Q29+CkReg16_181517[[#This Row],[Deposit]],Q29-CkReg16_181517[[#This Row],[Withdrawal]])</f>
        <v>11268.427999999994</v>
      </c>
      <c r="R30" s="376"/>
    </row>
    <row r="31" spans="2:18" x14ac:dyDescent="0.3">
      <c r="B31" s="94" t="s">
        <v>46</v>
      </c>
      <c r="C31" s="95">
        <f>-(SUMIF(CkReg16_181517[Category],"=" &amp;CategoryTable81210141618[[#This Row],[Category]],CkReg16_181517[Withdrawal]))</f>
        <v>-1032</v>
      </c>
      <c r="D31" s="95">
        <v>-1050</v>
      </c>
      <c r="E31" s="95">
        <f>+CategoryTable81210141618[[#This Row],[Budget]]</f>
        <v>-1050</v>
      </c>
      <c r="F31" s="95">
        <f>-CategoryTable81210141618[[#This Row],[Amended Budget]]+CategoryTable81210141618[[#This Row],[Actual to date]]</f>
        <v>18</v>
      </c>
      <c r="G31" s="95"/>
      <c r="H31" s="286">
        <v>3248</v>
      </c>
      <c r="I31" s="383">
        <v>43568</v>
      </c>
      <c r="J31" s="285" t="s">
        <v>92</v>
      </c>
      <c r="K31" s="285" t="s">
        <v>738</v>
      </c>
      <c r="L31" s="285" t="s">
        <v>43</v>
      </c>
      <c r="M31" s="446">
        <v>75</v>
      </c>
      <c r="N31" s="451"/>
      <c r="O31" s="451">
        <f>IF(ISBLANK(CkReg16_181517[[#This Row],[Withdrawal]]),O30+CkReg16_181517[[#This Row],[Deposit]],O30-CkReg16_181517[[#This Row],[Withdrawal]])</f>
        <v>2478.4279999999935</v>
      </c>
      <c r="P31" s="376">
        <v>43570</v>
      </c>
      <c r="Q31" s="457">
        <f>IF(ISBLANK(CkReg16_181517[[#This Row],[Withdrawal]]),Q30+CkReg16_181517[[#This Row],[Deposit]],Q30-CkReg16_181517[[#This Row],[Withdrawal]])</f>
        <v>11193.427999999994</v>
      </c>
      <c r="R31" s="376"/>
    </row>
    <row r="32" spans="2:18" x14ac:dyDescent="0.3">
      <c r="B32" s="94" t="s">
        <v>47</v>
      </c>
      <c r="C32" s="95">
        <f>-(SUMIF(CkReg16_181517[Category],"=" &amp;CategoryTable81210141618[[#This Row],[Category]],CkReg16_181517[Withdrawal]))</f>
        <v>-30.15</v>
      </c>
      <c r="D32" s="95">
        <v>-50</v>
      </c>
      <c r="E32" s="95">
        <f>+CategoryTable81210141618[[#This Row],[Budget]]</f>
        <v>-50</v>
      </c>
      <c r="F32" s="95">
        <f>-CategoryTable81210141618[[#This Row],[Amended Budget]]+CategoryTable81210141618[[#This Row],[Actual to date]]</f>
        <v>19.850000000000001</v>
      </c>
      <c r="G32" s="95"/>
      <c r="H32" s="286">
        <v>3249</v>
      </c>
      <c r="I32" s="383">
        <v>43568</v>
      </c>
      <c r="J32" s="285" t="s">
        <v>133</v>
      </c>
      <c r="K32" s="285" t="s">
        <v>815</v>
      </c>
      <c r="L32" s="285" t="s">
        <v>51</v>
      </c>
      <c r="M32" s="446">
        <v>80</v>
      </c>
      <c r="N32" s="451"/>
      <c r="O32" s="451">
        <f>IF(ISBLANK(CkReg16_181517[[#This Row],[Withdrawal]]),O31+CkReg16_181517[[#This Row],[Deposit]],O31-CkReg16_181517[[#This Row],[Withdrawal]])</f>
        <v>2398.4279999999935</v>
      </c>
      <c r="P32" s="376">
        <v>43584</v>
      </c>
      <c r="Q32" s="457">
        <f>IF(ISBLANK(CkReg16_181517[[#This Row],[Withdrawal]]),Q31+CkReg16_181517[[#This Row],[Deposit]],Q31-CkReg16_181517[[#This Row],[Withdrawal]])</f>
        <v>11113.427999999994</v>
      </c>
      <c r="R32" s="376"/>
    </row>
    <row r="33" spans="2:18" x14ac:dyDescent="0.3">
      <c r="B33" s="94" t="s">
        <v>49</v>
      </c>
      <c r="C33" s="95">
        <f>-(SUMIF(CkReg16_181517[Category],"=" &amp;CategoryTable81210141618[[#This Row],[Category]],CkReg16_181517[Withdrawal]))</f>
        <v>0</v>
      </c>
      <c r="D33" s="95">
        <v>-50</v>
      </c>
      <c r="E33" s="95">
        <f>+CategoryTable81210141618[[#This Row],[Budget]]</f>
        <v>-50</v>
      </c>
      <c r="F33" s="95">
        <f>-CategoryTable81210141618[[#This Row],[Amended Budget]]+CategoryTable81210141618[[#This Row],[Actual to date]]</f>
        <v>50</v>
      </c>
      <c r="G33" s="95"/>
      <c r="H33" s="286">
        <v>3250</v>
      </c>
      <c r="I33" s="383">
        <v>43568</v>
      </c>
      <c r="J33" s="285" t="s">
        <v>813</v>
      </c>
      <c r="K33" s="285" t="s">
        <v>816</v>
      </c>
      <c r="L33" s="285" t="s">
        <v>47</v>
      </c>
      <c r="M33" s="446">
        <v>8</v>
      </c>
      <c r="N33" s="451"/>
      <c r="O33" s="451">
        <f>IF(ISBLANK(CkReg16_181517[[#This Row],[Withdrawal]]),O32+CkReg16_181517[[#This Row],[Deposit]],O32-CkReg16_181517[[#This Row],[Withdrawal]])</f>
        <v>2390.4279999999935</v>
      </c>
      <c r="P33" s="376">
        <v>43577</v>
      </c>
      <c r="Q33" s="457">
        <f>IF(ISBLANK(CkReg16_181517[[#This Row],[Withdrawal]]),Q32+CkReg16_181517[[#This Row],[Deposit]],Q32-CkReg16_181517[[#This Row],[Withdrawal]])</f>
        <v>11105.427999999994</v>
      </c>
      <c r="R33" s="376"/>
    </row>
    <row r="34" spans="2:18" x14ac:dyDescent="0.3">
      <c r="B34" s="94" t="s">
        <v>50</v>
      </c>
      <c r="C34" s="95">
        <f>-(SUMIF(CkReg16_181517[Category],"=" &amp;CategoryTable81210141618[[#This Row],[Category]],CkReg16_181517[Withdrawal]))</f>
        <v>0</v>
      </c>
      <c r="D34" s="95">
        <v>-25</v>
      </c>
      <c r="E34" s="95">
        <f>+CategoryTable81210141618[[#This Row],[Budget]]</f>
        <v>-25</v>
      </c>
      <c r="F34" s="95">
        <f>-CategoryTable81210141618[[#This Row],[Amended Budget]]+CategoryTable81210141618[[#This Row],[Actual to date]]</f>
        <v>25</v>
      </c>
      <c r="G34" s="95"/>
      <c r="H34" s="286"/>
      <c r="I34" s="383">
        <v>43568</v>
      </c>
      <c r="J34" s="285"/>
      <c r="K34" s="285" t="s">
        <v>32</v>
      </c>
      <c r="L34" s="285" t="s">
        <v>32</v>
      </c>
      <c r="M34" s="446"/>
      <c r="N34" s="451">
        <v>275</v>
      </c>
      <c r="O34" s="451">
        <f>IF(ISBLANK(CkReg16_181517[[#This Row],[Withdrawal]]),O33+CkReg16_181517[[#This Row],[Deposit]],O33-CkReg16_181517[[#This Row],[Withdrawal]])</f>
        <v>2665.4279999999935</v>
      </c>
      <c r="P34" s="376">
        <v>43570</v>
      </c>
      <c r="Q34" s="457">
        <f>IF(ISBLANK(CkReg16_181517[[#This Row],[Withdrawal]]),Q33+CkReg16_181517[[#This Row],[Deposit]],Q33-CkReg16_181517[[#This Row],[Withdrawal]])</f>
        <v>11380.427999999994</v>
      </c>
      <c r="R34" s="376"/>
    </row>
    <row r="35" spans="2:18" x14ac:dyDescent="0.3">
      <c r="B35" s="94" t="s">
        <v>51</v>
      </c>
      <c r="C35" s="95">
        <f>-(SUMIF(CkReg16_181517[Category],"=" &amp;CategoryTable81210141618[[#This Row],[Category]],CkReg16_181517[Withdrawal]))</f>
        <v>-642</v>
      </c>
      <c r="D35" s="95">
        <v>-700</v>
      </c>
      <c r="E35" s="95">
        <f>+CategoryTable81210141618[[#This Row],[Budget]]</f>
        <v>-700</v>
      </c>
      <c r="F35" s="95">
        <f>-CategoryTable81210141618[[#This Row],[Amended Budget]]+CategoryTable81210141618[[#This Row],[Actual to date]]</f>
        <v>58</v>
      </c>
      <c r="G35" s="95"/>
      <c r="H35" s="286"/>
      <c r="I35" s="383">
        <v>43568</v>
      </c>
      <c r="J35" s="285"/>
      <c r="K35" s="285" t="s">
        <v>817</v>
      </c>
      <c r="L35" s="285" t="s">
        <v>33</v>
      </c>
      <c r="M35" s="446"/>
      <c r="N35" s="451">
        <v>27.12</v>
      </c>
      <c r="O35" s="451">
        <f>IF(ISBLANK(CkReg16_181517[[#This Row],[Withdrawal]]),O34+CkReg16_181517[[#This Row],[Deposit]],O34-CkReg16_181517[[#This Row],[Withdrawal]])</f>
        <v>2692.5479999999934</v>
      </c>
      <c r="P35" s="376">
        <v>43570</v>
      </c>
      <c r="Q35" s="457">
        <f>IF(ISBLANK(CkReg16_181517[[#This Row],[Withdrawal]]),Q34+CkReg16_181517[[#This Row],[Deposit]],Q34-CkReg16_181517[[#This Row],[Withdrawal]])</f>
        <v>11407.547999999995</v>
      </c>
      <c r="R35" s="376"/>
    </row>
    <row r="36" spans="2:18" x14ac:dyDescent="0.3">
      <c r="B36" s="94" t="s">
        <v>52</v>
      </c>
      <c r="C36" s="95">
        <f>-(SUMIF(CkReg16_181517[Category],"=" &amp;CategoryTable81210141618[[#This Row],[Category]],CkReg16_181517[Withdrawal]))</f>
        <v>-25</v>
      </c>
      <c r="D36" s="95">
        <v>-100</v>
      </c>
      <c r="E36" s="95">
        <f>+CategoryTable81210141618[[#This Row],[Budget]]</f>
        <v>-100</v>
      </c>
      <c r="F36" s="95">
        <f>-CategoryTable81210141618[[#This Row],[Amended Budget]]+CategoryTable81210141618[[#This Row],[Actual to date]]</f>
        <v>75</v>
      </c>
      <c r="G36" s="95"/>
      <c r="H36" s="286"/>
      <c r="I36" s="383">
        <v>43584</v>
      </c>
      <c r="J36" s="285" t="s">
        <v>818</v>
      </c>
      <c r="K36" s="285" t="s">
        <v>820</v>
      </c>
      <c r="L36" s="285" t="s">
        <v>53</v>
      </c>
      <c r="M36" s="446">
        <v>24.37</v>
      </c>
      <c r="N36" s="451"/>
      <c r="O36" s="451">
        <f>IF(ISBLANK(CkReg16_181517[[#This Row],[Withdrawal]]),O35+CkReg16_181517[[#This Row],[Deposit]],O35-CkReg16_181517[[#This Row],[Withdrawal]])</f>
        <v>2668.1779999999935</v>
      </c>
      <c r="P36" s="376">
        <v>43584</v>
      </c>
      <c r="Q36" s="457">
        <f>IF(ISBLANK(CkReg16_181517[[#This Row],[Withdrawal]]),Q35+CkReg16_181517[[#This Row],[Deposit]],Q35-CkReg16_181517[[#This Row],[Withdrawal]])</f>
        <v>11383.177999999994</v>
      </c>
      <c r="R36" s="376"/>
    </row>
    <row r="37" spans="2:18" x14ac:dyDescent="0.3">
      <c r="B37" s="94" t="s">
        <v>53</v>
      </c>
      <c r="C37" s="95">
        <f>-(SUMIF(CkReg16_181517[Category],"=" &amp;CategoryTable81210141618[[#This Row],[Category]],CkReg16_181517[Withdrawal]))</f>
        <v>-188.79</v>
      </c>
      <c r="D37" s="95">
        <v>-25</v>
      </c>
      <c r="E37" s="95">
        <f>+CategoryTable81210141618[[#This Row],[Budget]]</f>
        <v>-25</v>
      </c>
      <c r="F37" s="95">
        <f>-CategoryTable81210141618[[#This Row],[Amended Budget]]+CategoryTable81210141618[[#This Row],[Actual to date]]</f>
        <v>-163.79</v>
      </c>
      <c r="G37" s="95"/>
      <c r="H37" s="286"/>
      <c r="I37" s="383">
        <v>43585</v>
      </c>
      <c r="J37" s="285"/>
      <c r="K37" s="285"/>
      <c r="L37" s="285" t="s">
        <v>91</v>
      </c>
      <c r="M37" s="446">
        <v>-0.47</v>
      </c>
      <c r="N37" s="451"/>
      <c r="O37" s="451">
        <f>IF(ISBLANK(CkReg16_181517[[#This Row],[Withdrawal]]),O36+CkReg16_181517[[#This Row],[Deposit]],O36-CkReg16_181517[[#This Row],[Withdrawal]])</f>
        <v>2668.6479999999933</v>
      </c>
      <c r="P37" s="376">
        <v>43585</v>
      </c>
      <c r="Q37" s="457">
        <f>IF(ISBLANK(CkReg16_181517[[#This Row],[Withdrawal]]),Q36+CkReg16_181517[[#This Row],[Deposit]],Q36-CkReg16_181517[[#This Row],[Withdrawal]])</f>
        <v>11383.647999999994</v>
      </c>
      <c r="R37" s="376">
        <v>43585</v>
      </c>
    </row>
    <row r="38" spans="2:18" x14ac:dyDescent="0.3">
      <c r="B38" s="94" t="s">
        <v>54</v>
      </c>
      <c r="C38" s="95">
        <f>-(SUMIF(CkReg16_181517[Category],"=" &amp;CategoryTable81210141618[[#This Row],[Category]],CkReg16_181517[Withdrawal]))</f>
        <v>0</v>
      </c>
      <c r="D38" s="95">
        <v>-25</v>
      </c>
      <c r="E38" s="95">
        <f>+CategoryTable81210141618[[#This Row],[Budget]]</f>
        <v>-25</v>
      </c>
      <c r="F38" s="95">
        <f>-CategoryTable81210141618[[#This Row],[Amended Budget]]+CategoryTable81210141618[[#This Row],[Actual to date]]</f>
        <v>25</v>
      </c>
      <c r="G38" s="95"/>
      <c r="H38" s="286"/>
      <c r="I38" s="383">
        <v>43586</v>
      </c>
      <c r="J38" s="285"/>
      <c r="K38" s="285" t="s">
        <v>821</v>
      </c>
      <c r="L38" s="285" t="s">
        <v>51</v>
      </c>
      <c r="M38" s="446">
        <v>-178</v>
      </c>
      <c r="N38" s="451"/>
      <c r="O38" s="451">
        <f>IF(ISBLANK(CkReg16_181517[[#This Row],[Withdrawal]]),O37+CkReg16_181517[[#This Row],[Deposit]],O37-CkReg16_181517[[#This Row],[Withdrawal]])</f>
        <v>2846.6479999999933</v>
      </c>
      <c r="P38" s="376">
        <v>43586</v>
      </c>
      <c r="Q38" s="457">
        <f>IF(ISBLANK(CkReg16_181517[[#This Row],[Withdrawal]]),Q37+CkReg16_181517[[#This Row],[Deposit]],Q37-CkReg16_181517[[#This Row],[Withdrawal]])</f>
        <v>11561.647999999994</v>
      </c>
      <c r="R38" s="376"/>
    </row>
    <row r="39" spans="2:18" x14ac:dyDescent="0.3">
      <c r="B39" s="94" t="s">
        <v>36</v>
      </c>
      <c r="C39" s="95">
        <f>-(SUMIF(CkReg16_181517[Category],"=" &amp;CategoryTable81210141618[[#This Row],[Category]],CkReg16_181517[Withdrawal]))</f>
        <v>0</v>
      </c>
      <c r="D39" s="95">
        <v>-500</v>
      </c>
      <c r="E39" s="95">
        <v>-250</v>
      </c>
      <c r="F39" s="95">
        <f>-CategoryTable81210141618[[#This Row],[Amended Budget]]+CategoryTable81210141618[[#This Row],[Actual to date]]</f>
        <v>250</v>
      </c>
      <c r="G39" s="95"/>
      <c r="H39" s="286"/>
      <c r="I39" s="383">
        <v>43616</v>
      </c>
      <c r="J39" s="285"/>
      <c r="K39" s="285"/>
      <c r="L39" s="285" t="s">
        <v>91</v>
      </c>
      <c r="M39" s="446">
        <v>-0.49</v>
      </c>
      <c r="N39" s="451"/>
      <c r="O39" s="451">
        <f>IF(ISBLANK(CkReg16_181517[[#This Row],[Withdrawal]]),O38+CkReg16_181517[[#This Row],[Deposit]],O38-CkReg16_181517[[#This Row],[Withdrawal]])</f>
        <v>2847.1379999999931</v>
      </c>
      <c r="P39" s="376">
        <v>43616</v>
      </c>
      <c r="Q39" s="457">
        <f>IF(ISBLANK(CkReg16_181517[[#This Row],[Withdrawal]]),Q38+CkReg16_181517[[#This Row],[Deposit]],Q38-CkReg16_181517[[#This Row],[Withdrawal]])</f>
        <v>11562.137999999994</v>
      </c>
      <c r="R39" s="376">
        <v>43616</v>
      </c>
    </row>
    <row r="40" spans="2:18" x14ac:dyDescent="0.3">
      <c r="B40" s="94" t="s">
        <v>573</v>
      </c>
      <c r="C40" s="95">
        <f>-(SUMIF(CkReg16_181517[Category],"=" &amp;CategoryTable81210141618[[#This Row],[Category]],CkReg16_181517[Withdrawal]))</f>
        <v>0</v>
      </c>
      <c r="D40" s="95">
        <v>-200</v>
      </c>
      <c r="E40" s="95">
        <v>-50</v>
      </c>
      <c r="F40" s="95">
        <f>-CategoryTable81210141618[[#This Row],[Amended Budget]]+CategoryTable81210141618[[#This Row],[Actual to date]]</f>
        <v>50</v>
      </c>
      <c r="G40" s="95"/>
      <c r="H40" s="286">
        <v>3351</v>
      </c>
      <c r="I40" s="383">
        <v>43617</v>
      </c>
      <c r="J40" s="285" t="s">
        <v>92</v>
      </c>
      <c r="K40" s="285" t="s">
        <v>738</v>
      </c>
      <c r="L40" s="285" t="s">
        <v>43</v>
      </c>
      <c r="M40" s="446">
        <v>75</v>
      </c>
      <c r="N40" s="451"/>
      <c r="O40" s="451">
        <f>IF(ISBLANK(CkReg16_181517[[#This Row],[Withdrawal]]),O39+CkReg16_181517[[#This Row],[Deposit]],O39-CkReg16_181517[[#This Row],[Withdrawal]])</f>
        <v>2772.1379999999931</v>
      </c>
      <c r="P40" s="376">
        <v>43626</v>
      </c>
      <c r="Q40" s="457">
        <f>IF(ISBLANK(CkReg16_181517[[#This Row],[Withdrawal]]),Q39+CkReg16_181517[[#This Row],[Deposit]],Q39-CkReg16_181517[[#This Row],[Withdrawal]])</f>
        <v>11487.137999999994</v>
      </c>
      <c r="R40" s="376"/>
    </row>
    <row r="41" spans="2:18" x14ac:dyDescent="0.3">
      <c r="B41" s="94" t="s">
        <v>574</v>
      </c>
      <c r="C41" s="95">
        <f>-(SUMIF(CkReg16_181517[Category],"=" &amp;CategoryTable81210141618[[#This Row],[Category]],CkReg16_181517[Withdrawal]))</f>
        <v>0</v>
      </c>
      <c r="D41" s="95">
        <v>-200</v>
      </c>
      <c r="E41" s="95">
        <f>+CategoryTable81210141618[[#This Row],[Budget]]</f>
        <v>-200</v>
      </c>
      <c r="F41" s="95">
        <f>-CategoryTable81210141618[[#This Row],[Amended Budget]]+CategoryTable81210141618[[#This Row],[Actual to date]]</f>
        <v>200</v>
      </c>
      <c r="G41" s="95"/>
      <c r="H41" s="286">
        <v>3352</v>
      </c>
      <c r="I41" s="383">
        <v>43617</v>
      </c>
      <c r="J41" s="285" t="s">
        <v>93</v>
      </c>
      <c r="K41" s="285" t="s">
        <v>810</v>
      </c>
      <c r="L41" s="285" t="s">
        <v>39</v>
      </c>
      <c r="M41" s="446">
        <v>54.97</v>
      </c>
      <c r="N41" s="451"/>
      <c r="O41" s="451">
        <f>IF(ISBLANK(CkReg16_181517[[#This Row],[Withdrawal]]),O40+CkReg16_181517[[#This Row],[Deposit]],O40-CkReg16_181517[[#This Row],[Withdrawal]])</f>
        <v>2717.1679999999933</v>
      </c>
      <c r="P41" s="376">
        <v>43641</v>
      </c>
      <c r="Q41" s="457">
        <f>IF(ISBLANK(CkReg16_181517[[#This Row],[Withdrawal]]),Q40+CkReg16_181517[[#This Row],[Deposit]],Q40-CkReg16_181517[[#This Row],[Withdrawal]])</f>
        <v>11432.167999999994</v>
      </c>
      <c r="R41" s="376"/>
    </row>
    <row r="42" spans="2:18" x14ac:dyDescent="0.3">
      <c r="B42" s="94" t="s">
        <v>389</v>
      </c>
      <c r="C42" s="95">
        <f>-(SUMIF(CkReg16_181517[Category],"=" &amp;CategoryTable81210141618[[#This Row],[Category]],CkReg16_181517[Withdrawal]))</f>
        <v>-311.49</v>
      </c>
      <c r="D42" s="95">
        <v>-400</v>
      </c>
      <c r="E42" s="95">
        <f>+CategoryTable81210141618[[#This Row],[Budget]]</f>
        <v>-400</v>
      </c>
      <c r="F42" s="95">
        <f>-CategoryTable81210141618[[#This Row],[Amended Budget]]+CategoryTable81210141618[[#This Row],[Actual to date]]</f>
        <v>88.509999999999991</v>
      </c>
      <c r="G42" s="95"/>
      <c r="H42" s="286">
        <v>3353</v>
      </c>
      <c r="I42" s="383">
        <v>43617</v>
      </c>
      <c r="J42" s="285" t="s">
        <v>93</v>
      </c>
      <c r="K42" s="285" t="s">
        <v>810</v>
      </c>
      <c r="L42" s="285" t="s">
        <v>39</v>
      </c>
      <c r="M42" s="446">
        <v>54.97</v>
      </c>
      <c r="N42" s="451"/>
      <c r="O42" s="451">
        <f>IF(ISBLANK(CkReg16_181517[[#This Row],[Withdrawal]]),O41+CkReg16_181517[[#This Row],[Deposit]],O41-CkReg16_181517[[#This Row],[Withdrawal]])</f>
        <v>2662.1979999999935</v>
      </c>
      <c r="P42" s="376">
        <v>43641</v>
      </c>
      <c r="Q42" s="457">
        <f>IF(ISBLANK(CkReg16_181517[[#This Row],[Withdrawal]]),Q41+CkReg16_181517[[#This Row],[Deposit]],Q41-CkReg16_181517[[#This Row],[Withdrawal]])</f>
        <v>11377.197999999995</v>
      </c>
      <c r="R42" s="376"/>
    </row>
    <row r="43" spans="2:18" x14ac:dyDescent="0.3">
      <c r="B43" s="94" t="s">
        <v>390</v>
      </c>
      <c r="C43" s="95">
        <f>-(SUMIF(CkReg16_181517[Category],"=" &amp;CategoryTable81210141618[[#This Row],[Category]],CkReg16_181517[Withdrawal]))</f>
        <v>-47.75</v>
      </c>
      <c r="D43" s="95">
        <v>-300</v>
      </c>
      <c r="E43" s="95">
        <v>-200</v>
      </c>
      <c r="F43" s="95">
        <f>-CategoryTable81210141618[[#This Row],[Amended Budget]]+CategoryTable81210141618[[#This Row],[Actual to date]]</f>
        <v>152.25</v>
      </c>
      <c r="G43" s="95"/>
      <c r="H43" s="286">
        <v>3354</v>
      </c>
      <c r="I43" s="383">
        <v>43617</v>
      </c>
      <c r="J43" s="285" t="s">
        <v>93</v>
      </c>
      <c r="K43" s="285" t="s">
        <v>807</v>
      </c>
      <c r="L43" s="285" t="s">
        <v>70</v>
      </c>
      <c r="M43" s="446">
        <v>86.9</v>
      </c>
      <c r="N43" s="451"/>
      <c r="O43" s="451">
        <f>IF(ISBLANK(CkReg16_181517[[#This Row],[Withdrawal]]),O42+CkReg16_181517[[#This Row],[Deposit]],O42-CkReg16_181517[[#This Row],[Withdrawal]])</f>
        <v>2575.2979999999934</v>
      </c>
      <c r="P43" s="376">
        <v>43641</v>
      </c>
      <c r="Q43" s="457">
        <f>IF(ISBLANK(CkReg16_181517[[#This Row],[Withdrawal]]),Q42+CkReg16_181517[[#This Row],[Deposit]],Q42-CkReg16_181517[[#This Row],[Withdrawal]])</f>
        <v>11290.297999999995</v>
      </c>
      <c r="R43" s="376"/>
    </row>
    <row r="44" spans="2:18" x14ac:dyDescent="0.3">
      <c r="B44" s="94" t="s">
        <v>703</v>
      </c>
      <c r="C44" s="95">
        <f>-(SUMIF(CkReg16_181517[Category],"=" &amp;CategoryTable81210141618[[#This Row],[Category]],CkReg16_181517[Withdrawal]))</f>
        <v>-1715</v>
      </c>
      <c r="D44" s="95">
        <v>-1715</v>
      </c>
      <c r="E44" s="95">
        <f>+CategoryTable81210141618[[#This Row],[Budget]]</f>
        <v>-1715</v>
      </c>
      <c r="F44" s="95">
        <f>-CategoryTable81210141618[[#This Row],[Amended Budget]]+CategoryTable81210141618[[#This Row],[Actual to date]]</f>
        <v>0</v>
      </c>
      <c r="G44" s="95"/>
      <c r="H44" s="286">
        <v>3355</v>
      </c>
      <c r="I44" s="383">
        <v>43617</v>
      </c>
      <c r="J44" s="285" t="s">
        <v>156</v>
      </c>
      <c r="K44" s="285" t="s">
        <v>822</v>
      </c>
      <c r="L44" s="285" t="s">
        <v>389</v>
      </c>
      <c r="M44" s="446">
        <v>250</v>
      </c>
      <c r="N44" s="451"/>
      <c r="O44" s="451">
        <f>IF(ISBLANK(CkReg16_181517[[#This Row],[Withdrawal]]),O43+CkReg16_181517[[#This Row],[Deposit]],O43-CkReg16_181517[[#This Row],[Withdrawal]])</f>
        <v>2325.2979999999934</v>
      </c>
      <c r="P44" s="376">
        <v>43623</v>
      </c>
      <c r="Q44" s="457">
        <f>IF(ISBLANK(CkReg16_181517[[#This Row],[Withdrawal]]),Q43+CkReg16_181517[[#This Row],[Deposit]],Q43-CkReg16_181517[[#This Row],[Withdrawal]])</f>
        <v>11040.297999999995</v>
      </c>
      <c r="R44" s="376"/>
    </row>
    <row r="45" spans="2:18" x14ac:dyDescent="0.3">
      <c r="B45" s="94" t="s">
        <v>704</v>
      </c>
      <c r="C45" s="95">
        <f>-(SUMIF(CkReg16_181517[Category],"=" &amp;CategoryTable81210141618[[#This Row],[Category]],CkReg16_181517[Withdrawal]))</f>
        <v>-435.74</v>
      </c>
      <c r="D45" s="95">
        <v>0</v>
      </c>
      <c r="E45" s="95">
        <f>+CategoryTable81210141618[[#This Row],[Budget]]</f>
        <v>0</v>
      </c>
      <c r="F45" s="95">
        <f>-CategoryTable81210141618[[#This Row],[Amended Budget]]+CategoryTable81210141618[[#This Row],[Actual to date]]</f>
        <v>-435.74</v>
      </c>
      <c r="G45" s="95"/>
      <c r="H45" s="286">
        <v>3356</v>
      </c>
      <c r="I45" s="383">
        <v>43617</v>
      </c>
      <c r="J45" s="285" t="s">
        <v>813</v>
      </c>
      <c r="K45" s="285" t="s">
        <v>824</v>
      </c>
      <c r="L45" s="285" t="s">
        <v>49</v>
      </c>
      <c r="M45" s="446">
        <v>11.6</v>
      </c>
      <c r="N45" s="451"/>
      <c r="O45" s="451">
        <f>IF(ISBLANK(CkReg16_181517[[#This Row],[Withdrawal]]),O44+CkReg16_181517[[#This Row],[Deposit]],O44-CkReg16_181517[[#This Row],[Withdrawal]])</f>
        <v>2313.6979999999935</v>
      </c>
      <c r="P45" s="376">
        <v>43640</v>
      </c>
      <c r="Q45" s="457">
        <f>IF(ISBLANK(CkReg16_181517[[#This Row],[Withdrawal]]),Q44+CkReg16_181517[[#This Row],[Deposit]],Q44-CkReg16_181517[[#This Row],[Withdrawal]])</f>
        <v>11028.697999999995</v>
      </c>
      <c r="R45" s="376"/>
    </row>
    <row r="46" spans="2:18" x14ac:dyDescent="0.3">
      <c r="B46" s="94" t="s">
        <v>55</v>
      </c>
      <c r="C46" s="95">
        <f>-(SUMIF(CkReg16_181517[Category],"=" &amp;CategoryTable81210141618[[#This Row],[Category]],CkReg16_181517[Withdrawal]))</f>
        <v>-3000</v>
      </c>
      <c r="D46" s="95">
        <v>-3000</v>
      </c>
      <c r="E46" s="95">
        <f>+CategoryTable81210141618[[#This Row],[Budget]]</f>
        <v>-3000</v>
      </c>
      <c r="F46" s="95">
        <f>-CategoryTable81210141618[[#This Row],[Amended Budget]]+CategoryTable81210141618[[#This Row],[Actual to date]]</f>
        <v>0</v>
      </c>
      <c r="G46" s="95"/>
      <c r="H46" s="286">
        <v>3356</v>
      </c>
      <c r="I46" s="383">
        <v>43617</v>
      </c>
      <c r="J46" s="285" t="s">
        <v>813</v>
      </c>
      <c r="K46" s="285" t="s">
        <v>823</v>
      </c>
      <c r="L46" s="285" t="s">
        <v>573</v>
      </c>
      <c r="M46" s="446">
        <v>23.42</v>
      </c>
      <c r="N46" s="451"/>
      <c r="O46" s="451">
        <f>IF(ISBLANK(CkReg16_181517[[#This Row],[Withdrawal]]),O45+CkReg16_181517[[#This Row],[Deposit]],O45-CkReg16_181517[[#This Row],[Withdrawal]])</f>
        <v>2290.2779999999934</v>
      </c>
      <c r="P46" s="376">
        <v>43640</v>
      </c>
      <c r="Q46" s="457">
        <f>IF(ISBLANK(CkReg16_181517[[#This Row],[Withdrawal]]),Q45+CkReg16_181517[[#This Row],[Deposit]],Q45-CkReg16_181517[[#This Row],[Withdrawal]])</f>
        <v>11005.277999999995</v>
      </c>
      <c r="R46" s="376"/>
    </row>
    <row r="47" spans="2:18" x14ac:dyDescent="0.3">
      <c r="B47" s="94" t="s">
        <v>56</v>
      </c>
      <c r="C47" s="95">
        <f>-(SUMIF(CkReg16_181517[Category],"=" &amp;CategoryTable81210141618[[#This Row],[Category]],CkReg16_181517[Withdrawal]))</f>
        <v>-4000</v>
      </c>
      <c r="D47" s="95">
        <v>-4000</v>
      </c>
      <c r="E47" s="95">
        <f>+CategoryTable81210141618[[#This Row],[Budget]]</f>
        <v>-4000</v>
      </c>
      <c r="F47" s="95">
        <f>-CategoryTable81210141618[[#This Row],[Amended Budget]]+CategoryTable81210141618[[#This Row],[Actual to date]]</f>
        <v>0</v>
      </c>
      <c r="G47" s="95"/>
      <c r="H47" s="286">
        <v>3356</v>
      </c>
      <c r="I47" s="383">
        <v>43617</v>
      </c>
      <c r="J47" s="285" t="s">
        <v>813</v>
      </c>
      <c r="K47" s="285" t="s">
        <v>824</v>
      </c>
      <c r="L47" s="285" t="s">
        <v>49</v>
      </c>
      <c r="M47" s="446">
        <v>-11.6</v>
      </c>
      <c r="N47" s="451"/>
      <c r="O47" s="451">
        <f>IF(ISBLANK(CkReg16_181517[[#This Row],[Withdrawal]]),O46+CkReg16_181517[[#This Row],[Deposit]],O46-CkReg16_181517[[#This Row],[Withdrawal]])</f>
        <v>2301.8779999999933</v>
      </c>
      <c r="P47" s="376">
        <v>43640</v>
      </c>
      <c r="Q47" s="457">
        <f>IF(ISBLANK(CkReg16_181517[[#This Row],[Withdrawal]]),Q46+CkReg16_181517[[#This Row],[Deposit]],Q46-CkReg16_181517[[#This Row],[Withdrawal]])</f>
        <v>11016.877999999995</v>
      </c>
      <c r="R47" s="376"/>
    </row>
    <row r="48" spans="2:18" x14ac:dyDescent="0.3">
      <c r="B48" s="94" t="s">
        <v>590</v>
      </c>
      <c r="C48" s="95">
        <f>SUMIF(CkReg16_181517[Category],"=" &amp;CategoryTable81210141618[[#This Row],[Category]],CkReg16_181517[Deposit])</f>
        <v>0</v>
      </c>
      <c r="D48" s="95">
        <v>0</v>
      </c>
      <c r="E48" s="95">
        <f>+CategoryTable81210141618[[#This Row],[Budget]]</f>
        <v>0</v>
      </c>
      <c r="F48" s="95">
        <f>-CategoryTable81210141618[[#This Row],[Amended Budget]]+CategoryTable81210141618[[#This Row],[Actual to date]]</f>
        <v>0</v>
      </c>
      <c r="G48" s="95"/>
      <c r="H48" s="286">
        <v>3356</v>
      </c>
      <c r="I48" s="383">
        <v>43617</v>
      </c>
      <c r="J48" s="285" t="s">
        <v>813</v>
      </c>
      <c r="K48" s="285" t="s">
        <v>823</v>
      </c>
      <c r="L48" s="285" t="s">
        <v>573</v>
      </c>
      <c r="M48" s="446">
        <v>-23.42</v>
      </c>
      <c r="N48" s="451"/>
      <c r="O48" s="451">
        <f>IF(ISBLANK(CkReg16_181517[[#This Row],[Withdrawal]]),O47+CkReg16_181517[[#This Row],[Deposit]],O47-CkReg16_181517[[#This Row],[Withdrawal]])</f>
        <v>2325.2979999999934</v>
      </c>
      <c r="P48" s="376">
        <v>43640</v>
      </c>
      <c r="Q48" s="457">
        <f>IF(ISBLANK(CkReg16_181517[[#This Row],[Withdrawal]]),Q47+CkReg16_181517[[#This Row],[Deposit]],Q47-CkReg16_181517[[#This Row],[Withdrawal]])</f>
        <v>11040.297999999995</v>
      </c>
      <c r="R48" s="376"/>
    </row>
    <row r="49" spans="2:18" x14ac:dyDescent="0.3">
      <c r="B49" s="94" t="s">
        <v>58</v>
      </c>
      <c r="C49" s="95">
        <f>-(SUMIF(CkReg16_181517[Category],"=" &amp;CategoryTable81210141618[[#This Row],[Category]],CkReg16_181517[Withdrawal]))</f>
        <v>-750</v>
      </c>
      <c r="D49" s="95">
        <v>-750</v>
      </c>
      <c r="E49" s="95">
        <f>+CategoryTable81210141618[[#This Row],[Budget]]</f>
        <v>-750</v>
      </c>
      <c r="F49" s="95">
        <f>-CategoryTable81210141618[[#This Row],[Amended Budget]]+CategoryTable81210141618[[#This Row],[Actual to date]]</f>
        <v>0</v>
      </c>
      <c r="G49" s="95"/>
      <c r="H49" s="286"/>
      <c r="I49" s="383">
        <v>43617</v>
      </c>
      <c r="J49" s="285"/>
      <c r="K49" s="285" t="s">
        <v>32</v>
      </c>
      <c r="L49" s="285" t="s">
        <v>32</v>
      </c>
      <c r="M49" s="446"/>
      <c r="N49" s="451">
        <v>190</v>
      </c>
      <c r="O49" s="451">
        <f>IF(ISBLANK(CkReg16_181517[[#This Row],[Withdrawal]]),O48+CkReg16_181517[[#This Row],[Deposit]],O48-CkReg16_181517[[#This Row],[Withdrawal]])</f>
        <v>2515.2979999999934</v>
      </c>
      <c r="P49" s="376">
        <v>43619</v>
      </c>
      <c r="Q49" s="457">
        <f>IF(ISBLANK(CkReg16_181517[[#This Row],[Withdrawal]]),Q48+CkReg16_181517[[#This Row],[Deposit]],Q48-CkReg16_181517[[#This Row],[Withdrawal]])</f>
        <v>11230.297999999995</v>
      </c>
      <c r="R49" s="376"/>
    </row>
    <row r="50" spans="2:18" x14ac:dyDescent="0.3">
      <c r="B50" s="94" t="s">
        <v>59</v>
      </c>
      <c r="C50" s="95">
        <f>-(SUMIF(CkReg16_181517[Category],"=" &amp;CategoryTable81210141618[[#This Row],[Category]],CkReg16_181517[Withdrawal]))</f>
        <v>-500</v>
      </c>
      <c r="D50" s="95">
        <v>-500</v>
      </c>
      <c r="E50" s="95">
        <f>+CategoryTable81210141618[[#This Row],[Budget]]</f>
        <v>-500</v>
      </c>
      <c r="F50" s="95">
        <f>-CategoryTable81210141618[[#This Row],[Amended Budget]]+CategoryTable81210141618[[#This Row],[Actual to date]]</f>
        <v>0</v>
      </c>
      <c r="G50" s="95"/>
      <c r="H50" s="286"/>
      <c r="I50" s="383" t="s">
        <v>825</v>
      </c>
      <c r="J50" s="285"/>
      <c r="K50" s="285"/>
      <c r="L50" s="285" t="s">
        <v>91</v>
      </c>
      <c r="M50" s="446">
        <v>-0.47</v>
      </c>
      <c r="N50" s="451"/>
      <c r="O50" s="451">
        <f>IF(ISBLANK(CkReg16_181517[[#This Row],[Withdrawal]]),O49+CkReg16_181517[[#This Row],[Deposit]],O49-CkReg16_181517[[#This Row],[Withdrawal]])</f>
        <v>2515.7679999999932</v>
      </c>
      <c r="P50" s="376">
        <v>43644</v>
      </c>
      <c r="Q50" s="457">
        <f>IF(ISBLANK(CkReg16_181517[[#This Row],[Withdrawal]]),Q49+CkReg16_181517[[#This Row],[Deposit]],Q49-CkReg16_181517[[#This Row],[Withdrawal]])</f>
        <v>11230.767999999995</v>
      </c>
      <c r="R50" s="376" t="s">
        <v>826</v>
      </c>
    </row>
    <row r="51" spans="2:18" x14ac:dyDescent="0.3">
      <c r="B51" s="94" t="s">
        <v>60</v>
      </c>
      <c r="C51" s="95">
        <f>SUMIF(CkReg16_181517[Category],"=" &amp;CategoryTable81210141618[[#This Row],[Category]],CkReg16_181517[Deposit])</f>
        <v>6397.86</v>
      </c>
      <c r="D51" s="95">
        <v>5600</v>
      </c>
      <c r="E51" s="95">
        <f>+CategoryTable81210141618[[#This Row],[Budget]]</f>
        <v>5600</v>
      </c>
      <c r="F51" s="95">
        <f>-CategoryTable81210141618[[#This Row],[Amended Budget]]+CategoryTable81210141618[[#This Row],[Actual to date]]</f>
        <v>797.85999999999967</v>
      </c>
      <c r="G51" s="95"/>
      <c r="H51" s="286">
        <v>3358</v>
      </c>
      <c r="I51" s="383">
        <v>43665</v>
      </c>
      <c r="J51" s="285" t="s">
        <v>782</v>
      </c>
      <c r="K51" s="285" t="s">
        <v>827</v>
      </c>
      <c r="L51" s="285" t="s">
        <v>390</v>
      </c>
      <c r="M51" s="446">
        <v>47.75</v>
      </c>
      <c r="N51" s="451"/>
      <c r="O51" s="451">
        <f>IF(ISBLANK(CkReg16_181517[[#This Row],[Withdrawal]]),O50+CkReg16_181517[[#This Row],[Deposit]],O50-CkReg16_181517[[#This Row],[Withdrawal]])</f>
        <v>2468.0179999999932</v>
      </c>
      <c r="P51" s="376">
        <v>43678</v>
      </c>
      <c r="Q51" s="457">
        <f>IF(ISBLANK(CkReg16_181517[[#This Row],[Withdrawal]]),Q50+CkReg16_181517[[#This Row],[Deposit]],Q50-CkReg16_181517[[#This Row],[Withdrawal]])</f>
        <v>11183.017999999995</v>
      </c>
      <c r="R51" s="376"/>
    </row>
    <row r="52" spans="2:18" x14ac:dyDescent="0.3">
      <c r="B52" s="94" t="s">
        <v>61</v>
      </c>
      <c r="C52" s="95">
        <f>SUMIF(CkReg16_181517[Category],"=" &amp;CategoryTable81210141618[[#This Row],[Category]],CkReg16_181517[Deposit])</f>
        <v>13899.38</v>
      </c>
      <c r="D52" s="95">
        <v>15000</v>
      </c>
      <c r="E52" s="95">
        <f>+CategoryTable81210141618[[#This Row],[Budget]]</f>
        <v>15000</v>
      </c>
      <c r="F52" s="95">
        <f>-CategoryTable81210141618[[#This Row],[Amended Budget]]+CategoryTable81210141618[[#This Row],[Actual to date]]</f>
        <v>-1100.6200000000008</v>
      </c>
      <c r="G52" s="95"/>
      <c r="H52" s="286"/>
      <c r="I52" s="383">
        <v>43677</v>
      </c>
      <c r="J52" s="285"/>
      <c r="K52" s="285"/>
      <c r="L52" s="285" t="s">
        <v>91</v>
      </c>
      <c r="M52" s="446">
        <v>-0.47</v>
      </c>
      <c r="N52" s="451"/>
      <c r="O52" s="451">
        <f>IF(ISBLANK(CkReg16_181517[[#This Row],[Withdrawal]]),O51+CkReg16_181517[[#This Row],[Deposit]],O51-CkReg16_181517[[#This Row],[Withdrawal]])</f>
        <v>2468.487999999993</v>
      </c>
      <c r="P52" s="376">
        <v>43677</v>
      </c>
      <c r="Q52" s="457">
        <f>IF(ISBLANK(CkReg16_181517[[#This Row],[Withdrawal]]),Q51+CkReg16_181517[[#This Row],[Deposit]],Q51-CkReg16_181517[[#This Row],[Withdrawal]])</f>
        <v>11183.487999999994</v>
      </c>
      <c r="R52" s="376">
        <v>43677</v>
      </c>
    </row>
    <row r="53" spans="2:18" x14ac:dyDescent="0.3">
      <c r="B53" s="94" t="s">
        <v>62</v>
      </c>
      <c r="C53" s="95">
        <f>-(SUMIF(CkReg16_181517[Category],"=" &amp;CategoryTable81210141618[[#This Row],[Category]],CkReg16_181517[Withdrawal]))</f>
        <v>-139.02000000000001</v>
      </c>
      <c r="D53" s="95">
        <v>-100</v>
      </c>
      <c r="E53" s="95">
        <f>+CategoryTable81210141618[[#This Row],[Budget]]</f>
        <v>-100</v>
      </c>
      <c r="F53" s="95">
        <f>-CategoryTable81210141618[[#This Row],[Amended Budget]]+CategoryTable81210141618[[#This Row],[Actual to date]]</f>
        <v>-39.02000000000001</v>
      </c>
      <c r="G53" s="95"/>
      <c r="H53" s="286">
        <v>3357</v>
      </c>
      <c r="I53" s="383">
        <v>43680</v>
      </c>
      <c r="J53" s="285" t="s">
        <v>156</v>
      </c>
      <c r="K53" s="285" t="s">
        <v>828</v>
      </c>
      <c r="L53" s="285" t="s">
        <v>67</v>
      </c>
      <c r="M53" s="446">
        <v>301.64999999999998</v>
      </c>
      <c r="N53" s="451"/>
      <c r="O53" s="451">
        <f>IF(ISBLANK(CkReg16_181517[[#This Row],[Withdrawal]]),O52+CkReg16_181517[[#This Row],[Deposit]],O52-CkReg16_181517[[#This Row],[Withdrawal]])</f>
        <v>2166.8379999999929</v>
      </c>
      <c r="P53" s="376">
        <v>43685</v>
      </c>
      <c r="Q53" s="457">
        <f>IF(ISBLANK(CkReg16_181517[[#This Row],[Withdrawal]]),Q52+CkReg16_181517[[#This Row],[Deposit]],Q52-CkReg16_181517[[#This Row],[Withdrawal]])</f>
        <v>10881.837999999994</v>
      </c>
      <c r="R53" s="376"/>
    </row>
    <row r="54" spans="2:18" x14ac:dyDescent="0.3">
      <c r="B54" s="94" t="s">
        <v>63</v>
      </c>
      <c r="C54" s="95">
        <f>-(SUMIF(CkReg16_181517[Category],"=" &amp;CategoryTable81210141618[[#This Row],[Category]],CkReg16_181517[Withdrawal]))</f>
        <v>-117.2</v>
      </c>
      <c r="D54" s="95">
        <v>-100</v>
      </c>
      <c r="E54" s="95">
        <f>+CategoryTable81210141618[[#This Row],[Budget]]</f>
        <v>-100</v>
      </c>
      <c r="F54" s="95">
        <f>-CategoryTable81210141618[[#This Row],[Amended Budget]]+CategoryTable81210141618[[#This Row],[Actual to date]]</f>
        <v>-17.200000000000003</v>
      </c>
      <c r="G54" s="95"/>
      <c r="H54" s="286">
        <v>3359</v>
      </c>
      <c r="I54" s="383">
        <v>43680</v>
      </c>
      <c r="J54" s="285" t="s">
        <v>92</v>
      </c>
      <c r="K54" s="285" t="s">
        <v>738</v>
      </c>
      <c r="L54" s="285" t="s">
        <v>43</v>
      </c>
      <c r="M54" s="446">
        <v>75</v>
      </c>
      <c r="N54" s="451"/>
      <c r="O54" s="451">
        <f>IF(ISBLANK(CkReg16_181517[[#This Row],[Withdrawal]]),O53+CkReg16_181517[[#This Row],[Deposit]],O53-CkReg16_181517[[#This Row],[Withdrawal]])</f>
        <v>2091.8379999999929</v>
      </c>
      <c r="P54" s="376">
        <v>43689</v>
      </c>
      <c r="Q54" s="457">
        <f>IF(ISBLANK(CkReg16_181517[[#This Row],[Withdrawal]]),Q53+CkReg16_181517[[#This Row],[Deposit]],Q53-CkReg16_181517[[#This Row],[Withdrawal]])</f>
        <v>10806.837999999994</v>
      </c>
      <c r="R54" s="376"/>
    </row>
    <row r="55" spans="2:18" x14ac:dyDescent="0.3">
      <c r="B55" s="94" t="s">
        <v>64</v>
      </c>
      <c r="C55" s="95">
        <f>-(SUMIF(CkReg16_181517[Category],"=" &amp;CategoryTable81210141618[[#This Row],[Category]],CkReg16_181517[Withdrawal]))</f>
        <v>-39.519999999999996</v>
      </c>
      <c r="D55" s="95">
        <v>-50</v>
      </c>
      <c r="E55" s="95">
        <f>+CategoryTable81210141618[[#This Row],[Budget]]</f>
        <v>-50</v>
      </c>
      <c r="F55" s="95">
        <f>-CategoryTable81210141618[[#This Row],[Amended Budget]]+CategoryTable81210141618[[#This Row],[Actual to date]]</f>
        <v>10.480000000000004</v>
      </c>
      <c r="G55" s="95"/>
      <c r="H55" s="286">
        <v>3360</v>
      </c>
      <c r="I55" s="383">
        <v>43680</v>
      </c>
      <c r="J55" s="285" t="s">
        <v>829</v>
      </c>
      <c r="K55" s="285" t="s">
        <v>830</v>
      </c>
      <c r="L55" s="285" t="s">
        <v>64</v>
      </c>
      <c r="M55" s="446">
        <v>50</v>
      </c>
      <c r="N55" s="451"/>
      <c r="O55" s="451">
        <f>IF(ISBLANK(CkReg16_181517[[#This Row],[Withdrawal]]),O54+CkReg16_181517[[#This Row],[Deposit]],O54-CkReg16_181517[[#This Row],[Withdrawal]])</f>
        <v>2041.8379999999929</v>
      </c>
      <c r="P55" s="376">
        <v>43696</v>
      </c>
      <c r="Q55" s="457">
        <f>IF(ISBLANK(CkReg16_181517[[#This Row],[Withdrawal]]),Q54+CkReg16_181517[[#This Row],[Deposit]],Q54-CkReg16_181517[[#This Row],[Withdrawal]])</f>
        <v>10756.837999999994</v>
      </c>
      <c r="R55" s="376"/>
    </row>
    <row r="56" spans="2:18" x14ac:dyDescent="0.3">
      <c r="B56" s="94" t="s">
        <v>65</v>
      </c>
      <c r="C56" s="95">
        <f>-(SUMIF(CkReg16_181517[Category],"=" &amp;CategoryTable81210141618[[#This Row],[Category]],CkReg16_181517[Withdrawal]))</f>
        <v>-26.58</v>
      </c>
      <c r="D56" s="95">
        <v>-50</v>
      </c>
      <c r="E56" s="95">
        <f>+CategoryTable81210141618[[#This Row],[Budget]]</f>
        <v>-50</v>
      </c>
      <c r="F56" s="95">
        <f>-CategoryTable81210141618[[#This Row],[Amended Budget]]+CategoryTable81210141618[[#This Row],[Actual to date]]</f>
        <v>23.42</v>
      </c>
      <c r="G56" s="95"/>
      <c r="H56" s="286">
        <v>3360</v>
      </c>
      <c r="I56" s="383">
        <v>43680</v>
      </c>
      <c r="J56" s="285" t="s">
        <v>829</v>
      </c>
      <c r="K56" s="285" t="s">
        <v>530</v>
      </c>
      <c r="L56" s="285" t="s">
        <v>65</v>
      </c>
      <c r="M56" s="446">
        <v>50</v>
      </c>
      <c r="N56" s="451"/>
      <c r="O56" s="451">
        <f>IF(ISBLANK(CkReg16_181517[[#This Row],[Withdrawal]]),O55+CkReg16_181517[[#This Row],[Deposit]],O55-CkReg16_181517[[#This Row],[Withdrawal]])</f>
        <v>1991.8379999999929</v>
      </c>
      <c r="P56" s="376">
        <v>43696</v>
      </c>
      <c r="Q56" s="457">
        <f>IF(ISBLANK(CkReg16_181517[[#This Row],[Withdrawal]]),Q55+CkReg16_181517[[#This Row],[Deposit]],Q55-CkReg16_181517[[#This Row],[Withdrawal]])</f>
        <v>10706.837999999994</v>
      </c>
      <c r="R56" s="376"/>
    </row>
    <row r="57" spans="2:18" x14ac:dyDescent="0.3">
      <c r="B57" s="94" t="s">
        <v>66</v>
      </c>
      <c r="C57" s="95">
        <f>-(SUMIF(CkReg16_181517[Category],"=" &amp;CategoryTable81210141618[[#This Row],[Category]],CkReg16_181517[Withdrawal]))</f>
        <v>-4342.1100000000006</v>
      </c>
      <c r="D57" s="95">
        <v>-4000</v>
      </c>
      <c r="E57" s="95">
        <v>-5000</v>
      </c>
      <c r="F57" s="95">
        <f>-CategoryTable81210141618[[#This Row],[Amended Budget]]+CategoryTable81210141618[[#This Row],[Actual to date]]</f>
        <v>657.88999999999942</v>
      </c>
      <c r="G57" s="95"/>
      <c r="H57" s="286">
        <v>3361</v>
      </c>
      <c r="I57" s="383">
        <v>43680</v>
      </c>
      <c r="J57" s="285" t="s">
        <v>758</v>
      </c>
      <c r="K57" s="285" t="s">
        <v>510</v>
      </c>
      <c r="L57" s="285" t="s">
        <v>67</v>
      </c>
      <c r="M57" s="446">
        <v>300</v>
      </c>
      <c r="N57" s="451"/>
      <c r="O57" s="451">
        <f>IF(ISBLANK(CkReg16_181517[[#This Row],[Withdrawal]]),O56+CkReg16_181517[[#This Row],[Deposit]],O56-CkReg16_181517[[#This Row],[Withdrawal]])</f>
        <v>1691.8379999999929</v>
      </c>
      <c r="P57" s="376">
        <v>43683</v>
      </c>
      <c r="Q57" s="457">
        <f>IF(ISBLANK(CkReg16_181517[[#This Row],[Withdrawal]]),Q56+CkReg16_181517[[#This Row],[Deposit]],Q56-CkReg16_181517[[#This Row],[Withdrawal]])</f>
        <v>10406.837999999994</v>
      </c>
      <c r="R57" s="376"/>
    </row>
    <row r="58" spans="2:18" x14ac:dyDescent="0.3">
      <c r="B58" s="94" t="s">
        <v>67</v>
      </c>
      <c r="C58" s="95">
        <f>-(SUMIF(CkReg16_181517[Category],"=" &amp;CategoryTable81210141618[[#This Row],[Category]],CkReg16_181517[Withdrawal]))</f>
        <v>-4471.04</v>
      </c>
      <c r="D58" s="95">
        <v>-4000</v>
      </c>
      <c r="E58" s="95">
        <f>+CategoryTable81210141618[[#This Row],[Budget]]</f>
        <v>-4000</v>
      </c>
      <c r="F58" s="95">
        <f>-CategoryTable81210141618[[#This Row],[Amended Budget]]+CategoryTable81210141618[[#This Row],[Actual to date]]</f>
        <v>-471.03999999999996</v>
      </c>
      <c r="G58" s="95"/>
      <c r="H58" s="286">
        <v>3362</v>
      </c>
      <c r="I58" s="383">
        <v>43680</v>
      </c>
      <c r="J58" s="285" t="s">
        <v>831</v>
      </c>
      <c r="K58" s="285" t="s">
        <v>832</v>
      </c>
      <c r="L58" s="285" t="s">
        <v>66</v>
      </c>
      <c r="M58" s="446">
        <v>500</v>
      </c>
      <c r="N58" s="451"/>
      <c r="O58" s="451">
        <f>IF(ISBLANK(CkReg16_181517[[#This Row],[Withdrawal]]),O57+CkReg16_181517[[#This Row],[Deposit]],O57-CkReg16_181517[[#This Row],[Withdrawal]])</f>
        <v>1191.8379999999929</v>
      </c>
      <c r="P58" s="376">
        <v>43682</v>
      </c>
      <c r="Q58" s="457">
        <f>IF(ISBLANK(CkReg16_181517[[#This Row],[Withdrawal]]),Q57+CkReg16_181517[[#This Row],[Deposit]],Q57-CkReg16_181517[[#This Row],[Withdrawal]])</f>
        <v>9906.8379999999943</v>
      </c>
      <c r="R58" s="376"/>
    </row>
    <row r="59" spans="2:18" x14ac:dyDescent="0.3">
      <c r="B59" s="94" t="s">
        <v>68</v>
      </c>
      <c r="C59" s="95">
        <f>-(SUMIF(CkReg16_181517[Category],"=" &amp;CategoryTable81210141618[[#This Row],[Category]],CkReg16_181517[Withdrawal]))</f>
        <v>-851.48</v>
      </c>
      <c r="D59" s="95">
        <v>-1000</v>
      </c>
      <c r="E59" s="95">
        <f>+CategoryTable81210141618[[#This Row],[Budget]]</f>
        <v>-1000</v>
      </c>
      <c r="F59" s="95">
        <f>-CategoryTable81210141618[[#This Row],[Amended Budget]]+CategoryTable81210141618[[#This Row],[Actual to date]]</f>
        <v>148.51999999999998</v>
      </c>
      <c r="G59" s="95"/>
      <c r="H59" s="286">
        <v>3363</v>
      </c>
      <c r="I59" s="383">
        <v>43680</v>
      </c>
      <c r="J59" s="285" t="s">
        <v>833</v>
      </c>
      <c r="K59" s="285" t="s">
        <v>834</v>
      </c>
      <c r="L59" s="285" t="s">
        <v>62</v>
      </c>
      <c r="M59" s="446">
        <v>100</v>
      </c>
      <c r="N59" s="451"/>
      <c r="O59" s="451">
        <f>IF(ISBLANK(CkReg16_181517[[#This Row],[Withdrawal]]),O58+CkReg16_181517[[#This Row],[Deposit]],O58-CkReg16_181517[[#This Row],[Withdrawal]])</f>
        <v>1091.8379999999929</v>
      </c>
      <c r="P59" s="376">
        <v>43690</v>
      </c>
      <c r="Q59" s="457">
        <f>IF(ISBLANK(CkReg16_181517[[#This Row],[Withdrawal]]),Q58+CkReg16_181517[[#This Row],[Deposit]],Q58-CkReg16_181517[[#This Row],[Withdrawal]])</f>
        <v>9806.8379999999943</v>
      </c>
      <c r="R59" s="376"/>
    </row>
    <row r="60" spans="2:18" x14ac:dyDescent="0.3">
      <c r="B60" s="94" t="s">
        <v>69</v>
      </c>
      <c r="C60" s="95">
        <f>-(SUMIF(CkReg16_181517[Category],"=" &amp;CategoryTable81210141618[[#This Row],[Category]],CkReg16_181517[Withdrawal]))</f>
        <v>-5420</v>
      </c>
      <c r="D60" s="95">
        <v>-6450</v>
      </c>
      <c r="E60" s="95">
        <f>+CategoryTable81210141618[[#This Row],[Budget]]</f>
        <v>-6450</v>
      </c>
      <c r="F60" s="95">
        <f>-CategoryTable81210141618[[#This Row],[Amended Budget]]+CategoryTable81210141618[[#This Row],[Actual to date]]</f>
        <v>1030</v>
      </c>
      <c r="G60" s="95"/>
      <c r="H60" s="286">
        <v>3364</v>
      </c>
      <c r="I60" s="383">
        <v>43680</v>
      </c>
      <c r="J60" s="285" t="s">
        <v>564</v>
      </c>
      <c r="K60" s="285" t="s">
        <v>835</v>
      </c>
      <c r="L60" s="285" t="s">
        <v>67</v>
      </c>
      <c r="M60" s="446">
        <v>50</v>
      </c>
      <c r="N60" s="451"/>
      <c r="O60" s="451">
        <f>IF(ISBLANK(CkReg16_181517[[#This Row],[Withdrawal]]),O59+CkReg16_181517[[#This Row],[Deposit]],O59-CkReg16_181517[[#This Row],[Withdrawal]])</f>
        <v>1041.8379999999929</v>
      </c>
      <c r="P60" s="376">
        <v>43696</v>
      </c>
      <c r="Q60" s="457">
        <f>IF(ISBLANK(CkReg16_181517[[#This Row],[Withdrawal]]),Q59+CkReg16_181517[[#This Row],[Deposit]],Q59-CkReg16_181517[[#This Row],[Withdrawal]])</f>
        <v>9756.8379999999943</v>
      </c>
      <c r="R60" s="376"/>
    </row>
    <row r="61" spans="2:18" x14ac:dyDescent="0.3">
      <c r="B61" s="94" t="s">
        <v>70</v>
      </c>
      <c r="C61" s="95">
        <f>-(SUMIF(CkReg16_181517[Category],"=" &amp;CategoryTable81210141618[[#This Row],[Category]],CkReg16_181517[Withdrawal]))</f>
        <v>-387.8</v>
      </c>
      <c r="D61" s="95">
        <v>-700</v>
      </c>
      <c r="E61" s="95">
        <f>+CategoryTable81210141618[[#This Row],[Budget]]</f>
        <v>-700</v>
      </c>
      <c r="F61" s="95">
        <f>-CategoryTable81210141618[[#This Row],[Amended Budget]]+CategoryTable81210141618[[#This Row],[Actual to date]]</f>
        <v>312.2</v>
      </c>
      <c r="G61" s="95"/>
      <c r="H61" s="286">
        <v>3365</v>
      </c>
      <c r="I61" s="383">
        <v>43680</v>
      </c>
      <c r="J61" s="285" t="s">
        <v>836</v>
      </c>
      <c r="K61" s="285" t="s">
        <v>837</v>
      </c>
      <c r="L61" s="285" t="s">
        <v>68</v>
      </c>
      <c r="M61" s="446">
        <v>63.56</v>
      </c>
      <c r="N61" s="451"/>
      <c r="O61" s="451">
        <f>IF(ISBLANK(CkReg16_181517[[#This Row],[Withdrawal]]),O60+CkReg16_181517[[#This Row],[Deposit]],O60-CkReg16_181517[[#This Row],[Withdrawal]])</f>
        <v>978.27799999999297</v>
      </c>
      <c r="P61" s="376">
        <v>43714</v>
      </c>
      <c r="Q61" s="457">
        <f>IF(ISBLANK(CkReg16_181517[[#This Row],[Withdrawal]]),Q60+CkReg16_181517[[#This Row],[Deposit]],Q60-CkReg16_181517[[#This Row],[Withdrawal]])</f>
        <v>9693.2779999999948</v>
      </c>
      <c r="R61" s="376"/>
    </row>
    <row r="62" spans="2:18" x14ac:dyDescent="0.3">
      <c r="B62" s="94" t="s">
        <v>71</v>
      </c>
      <c r="C62" s="95">
        <f>-(SUMIF(CkReg16_181517[Category],"=" &amp;CategoryTable81210141618[[#This Row],[Category]],CkReg16_181517[Withdrawal]))</f>
        <v>0</v>
      </c>
      <c r="D62" s="95">
        <v>-50</v>
      </c>
      <c r="E62" s="95">
        <f>+CategoryTable81210141618[[#This Row],[Budget]]</f>
        <v>-50</v>
      </c>
      <c r="F62" s="95">
        <f>-CategoryTable81210141618[[#This Row],[Amended Budget]]+CategoryTable81210141618[[#This Row],[Actual to date]]</f>
        <v>50</v>
      </c>
      <c r="G62" s="95"/>
      <c r="H62" s="286">
        <v>3366</v>
      </c>
      <c r="I62" s="383">
        <v>43680</v>
      </c>
      <c r="J62" s="285" t="s">
        <v>93</v>
      </c>
      <c r="K62" s="285" t="s">
        <v>810</v>
      </c>
      <c r="L62" s="285" t="s">
        <v>39</v>
      </c>
      <c r="M62" s="446">
        <v>65.3</v>
      </c>
      <c r="N62" s="451"/>
      <c r="O62" s="451">
        <f>IF(ISBLANK(CkReg16_181517[[#This Row],[Withdrawal]]),O61+CkReg16_181517[[#This Row],[Deposit]],O61-CkReg16_181517[[#This Row],[Withdrawal]])</f>
        <v>912.97799999999302</v>
      </c>
      <c r="P62" s="376">
        <v>43689</v>
      </c>
      <c r="Q62" s="457">
        <f>IF(ISBLANK(CkReg16_181517[[#This Row],[Withdrawal]]),Q61+CkReg16_181517[[#This Row],[Deposit]],Q61-CkReg16_181517[[#This Row],[Withdrawal]])</f>
        <v>9627.9779999999955</v>
      </c>
      <c r="R62" s="376"/>
    </row>
    <row r="63" spans="2:18" x14ac:dyDescent="0.3">
      <c r="B63" s="94" t="s">
        <v>72</v>
      </c>
      <c r="C63" s="95">
        <f>-(SUMIF(CkReg16_181517[Category],"=" &amp;CategoryTable81210141618[[#This Row],[Category]],CkReg16_181517[Withdrawal]))</f>
        <v>-58</v>
      </c>
      <c r="D63" s="95">
        <v>-150</v>
      </c>
      <c r="E63" s="95">
        <f>+CategoryTable81210141618[[#This Row],[Budget]]</f>
        <v>-150</v>
      </c>
      <c r="F63" s="95">
        <f>-CategoryTable81210141618[[#This Row],[Amended Budget]]+CategoryTable81210141618[[#This Row],[Actual to date]]</f>
        <v>92</v>
      </c>
      <c r="G63" s="95"/>
      <c r="H63" s="286">
        <v>3367</v>
      </c>
      <c r="I63" s="383">
        <v>43680</v>
      </c>
      <c r="J63" s="285" t="s">
        <v>128</v>
      </c>
      <c r="K63" s="285" t="s">
        <v>838</v>
      </c>
      <c r="L63" s="285" t="s">
        <v>70</v>
      </c>
      <c r="M63" s="446">
        <v>100</v>
      </c>
      <c r="N63" s="451"/>
      <c r="O63" s="451">
        <f>IF(ISBLANK(CkReg16_181517[[#This Row],[Withdrawal]]),O62+CkReg16_181517[[#This Row],[Deposit]],O62-CkReg16_181517[[#This Row],[Withdrawal]])</f>
        <v>812.97799999999302</v>
      </c>
      <c r="P63" s="376">
        <v>43711</v>
      </c>
      <c r="Q63" s="457">
        <f>IF(ISBLANK(CkReg16_181517[[#This Row],[Withdrawal]]),Q62+CkReg16_181517[[#This Row],[Deposit]],Q62-CkReg16_181517[[#This Row],[Withdrawal]])</f>
        <v>9527.9779999999955</v>
      </c>
      <c r="R63" s="376"/>
    </row>
    <row r="64" spans="2:18" x14ac:dyDescent="0.3">
      <c r="B64" s="94" t="s">
        <v>73</v>
      </c>
      <c r="C64" s="95">
        <f>-(SUMIF(CkReg16_181517[Category],"=" &amp;CategoryTable81210141618[[#This Row],[Category]],CkReg16_181517[Withdrawal]))</f>
        <v>0</v>
      </c>
      <c r="D64" s="95">
        <v>-100</v>
      </c>
      <c r="E64" s="95">
        <f>+CategoryTable81210141618[[#This Row],[Budget]]</f>
        <v>-100</v>
      </c>
      <c r="F64" s="95">
        <f>-CategoryTable81210141618[[#This Row],[Amended Budget]]+CategoryTable81210141618[[#This Row],[Actual to date]]</f>
        <v>100</v>
      </c>
      <c r="G64" s="95"/>
      <c r="H64" s="286">
        <v>3368</v>
      </c>
      <c r="I64" s="383">
        <v>43680</v>
      </c>
      <c r="J64" s="285" t="s">
        <v>758</v>
      </c>
      <c r="K64" s="285" t="s">
        <v>839</v>
      </c>
      <c r="L64" s="285" t="s">
        <v>67</v>
      </c>
      <c r="M64" s="446">
        <v>100</v>
      </c>
      <c r="N64" s="451"/>
      <c r="O64" s="451">
        <f>IF(ISBLANK(CkReg16_181517[[#This Row],[Withdrawal]]),O63+CkReg16_181517[[#This Row],[Deposit]],O63-CkReg16_181517[[#This Row],[Withdrawal]])</f>
        <v>712.97799999999302</v>
      </c>
      <c r="P64" s="376">
        <v>43712</v>
      </c>
      <c r="Q64" s="457">
        <f>IF(ISBLANK(CkReg16_181517[[#This Row],[Withdrawal]]),Q63+CkReg16_181517[[#This Row],[Deposit]],Q63-CkReg16_181517[[#This Row],[Withdrawal]])</f>
        <v>9427.9779999999955</v>
      </c>
      <c r="R64" s="376"/>
    </row>
    <row r="65" spans="2:20" x14ac:dyDescent="0.3">
      <c r="B65" s="94" t="s">
        <v>74</v>
      </c>
      <c r="C65" s="95">
        <f>-(SUMIF(CkReg16_181517[Category],"=" &amp;CategoryTable81210141618[[#This Row],[Category]],CkReg16_181517[Withdrawal]))</f>
        <v>0</v>
      </c>
      <c r="D65" s="95">
        <v>-100</v>
      </c>
      <c r="E65" s="95">
        <f>+CategoryTable81210141618[[#This Row],[Budget]]</f>
        <v>-100</v>
      </c>
      <c r="F65" s="95">
        <f>-CategoryTable81210141618[[#This Row],[Amended Budget]]+CategoryTable81210141618[[#This Row],[Actual to date]]</f>
        <v>100</v>
      </c>
      <c r="G65" s="95"/>
      <c r="H65" s="286">
        <v>3369</v>
      </c>
      <c r="I65" s="383">
        <v>43680</v>
      </c>
      <c r="J65" s="285" t="s">
        <v>133</v>
      </c>
      <c r="K65" s="285" t="s">
        <v>840</v>
      </c>
      <c r="L65" s="285" t="s">
        <v>51</v>
      </c>
      <c r="M65" s="446">
        <v>80</v>
      </c>
      <c r="N65" s="451"/>
      <c r="O65" s="451">
        <f>IF(ISBLANK(CkReg16_181517[[#This Row],[Withdrawal]]),O64+CkReg16_181517[[#This Row],[Deposit]],O64-CkReg16_181517[[#This Row],[Withdrawal]])</f>
        <v>632.97799999999302</v>
      </c>
      <c r="P65" s="376">
        <v>43682</v>
      </c>
      <c r="Q65" s="457">
        <f>IF(ISBLANK(CkReg16_181517[[#This Row],[Withdrawal]]),Q64+CkReg16_181517[[#This Row],[Deposit]],Q64-CkReg16_181517[[#This Row],[Withdrawal]])</f>
        <v>9347.9779999999955</v>
      </c>
      <c r="R65" s="376"/>
    </row>
    <row r="66" spans="2:20" x14ac:dyDescent="0.3">
      <c r="B66" s="94"/>
      <c r="C66" s="95">
        <f>SUBTOTAL(109,C18:C65)</f>
        <v>4891.9779999999873</v>
      </c>
      <c r="D66" s="95">
        <f>SUBTOTAL(109,D18:D65)</f>
        <v>2350.2179999999935</v>
      </c>
      <c r="E66" s="95">
        <f>SUBTOTAL(109,E18:E65)</f>
        <v>2300.2179999999935</v>
      </c>
      <c r="F66" s="95">
        <f>SUBTOTAL(109,F18:F65)</f>
        <v>2591.7599999999979</v>
      </c>
      <c r="H66" s="286">
        <v>3370</v>
      </c>
      <c r="I66" s="383">
        <v>43690</v>
      </c>
      <c r="J66" s="285" t="s">
        <v>758</v>
      </c>
      <c r="K66" s="285"/>
      <c r="L66" s="285" t="s">
        <v>67</v>
      </c>
      <c r="M66" s="446">
        <v>500</v>
      </c>
      <c r="N66" s="451"/>
      <c r="O66" s="451">
        <f>IF(ISBLANK(CkReg16_181517[[#This Row],[Withdrawal]]),O65+CkReg16_181517[[#This Row],[Deposit]],O65-CkReg16_181517[[#This Row],[Withdrawal]])</f>
        <v>132.97799999999302</v>
      </c>
      <c r="P66" s="376">
        <v>43691</v>
      </c>
      <c r="Q66" s="457">
        <f>IF(ISBLANK(CkReg16_181517[[#This Row],[Withdrawal]]),Q65+CkReg16_181517[[#This Row],[Deposit]],Q65-CkReg16_181517[[#This Row],[Withdrawal]])</f>
        <v>8847.9779999999955</v>
      </c>
      <c r="R66" s="376"/>
    </row>
    <row r="67" spans="2:20" x14ac:dyDescent="0.3">
      <c r="B67" s="94"/>
      <c r="C67" s="95">
        <f>SUM(C51:C65)</f>
        <v>4444.4899999999934</v>
      </c>
      <c r="D67" s="95">
        <f>SUM(D51:D65)</f>
        <v>3750</v>
      </c>
      <c r="E67" s="95"/>
      <c r="F67" s="95">
        <f>SUM(F51:F65)</f>
        <v>1694.4899999999984</v>
      </c>
      <c r="H67" s="286"/>
      <c r="I67" s="383">
        <v>43680</v>
      </c>
      <c r="J67" s="285"/>
      <c r="K67" s="285"/>
      <c r="L67" s="285" t="s">
        <v>32</v>
      </c>
      <c r="M67" s="446"/>
      <c r="N67" s="451">
        <v>171</v>
      </c>
      <c r="O67" s="451">
        <f>IF(ISBLANK(CkReg16_181517[[#This Row],[Withdrawal]]),O66+CkReg16_181517[[#This Row],[Deposit]],O66-CkReg16_181517[[#This Row],[Withdrawal]])</f>
        <v>303.97799999999302</v>
      </c>
      <c r="P67" s="376">
        <v>43682</v>
      </c>
      <c r="Q67" s="457">
        <f>IF(ISBLANK(CkReg16_181517[[#This Row],[Withdrawal]]),Q66+CkReg16_181517[[#This Row],[Deposit]],Q66-CkReg16_181517[[#This Row],[Withdrawal]])</f>
        <v>9018.9779999999955</v>
      </c>
      <c r="R67" s="376"/>
    </row>
    <row r="68" spans="2:20" x14ac:dyDescent="0.3">
      <c r="B68" s="443" t="s">
        <v>872</v>
      </c>
      <c r="C68" s="444"/>
      <c r="D68" s="444"/>
      <c r="E68" s="444"/>
      <c r="F68" s="445"/>
      <c r="H68" s="286">
        <v>3372</v>
      </c>
      <c r="I68" s="383">
        <v>43707</v>
      </c>
      <c r="J68" s="285" t="s">
        <v>841</v>
      </c>
      <c r="K68" s="285"/>
      <c r="L68" s="285" t="s">
        <v>67</v>
      </c>
      <c r="M68" s="446">
        <v>3500.51</v>
      </c>
      <c r="N68" s="451"/>
      <c r="O68" s="451">
        <f>IF(ISBLANK(CkReg16_181517[[#This Row],[Withdrawal]]),O67+CkReg16_181517[[#This Row],[Deposit]],O67-CkReg16_181517[[#This Row],[Withdrawal]])</f>
        <v>-3196.5320000000074</v>
      </c>
      <c r="P68" s="376">
        <v>43711</v>
      </c>
      <c r="Q68" s="457">
        <f>IF(ISBLANK(CkReg16_181517[[#This Row],[Withdrawal]]),Q67+CkReg16_181517[[#This Row],[Deposit]],Q67-CkReg16_181517[[#This Row],[Withdrawal]])</f>
        <v>5518.4679999999953</v>
      </c>
      <c r="R68" s="376"/>
    </row>
    <row r="69" spans="2:20" x14ac:dyDescent="0.3">
      <c r="B69" s="550" t="s">
        <v>873</v>
      </c>
      <c r="C69" s="551"/>
      <c r="D69" s="551"/>
      <c r="E69" s="551"/>
      <c r="F69" s="552"/>
      <c r="H69" s="286"/>
      <c r="I69" s="383">
        <v>43707</v>
      </c>
      <c r="J69" s="285"/>
      <c r="K69" s="285"/>
      <c r="L69" s="285" t="s">
        <v>91</v>
      </c>
      <c r="M69" s="446">
        <v>-0.41</v>
      </c>
      <c r="N69" s="451"/>
      <c r="O69" s="451">
        <f>IF(ISBLANK(CkReg16_181517[[#This Row],[Withdrawal]]),O68+CkReg16_181517[[#This Row],[Deposit]],O68-CkReg16_181517[[#This Row],[Withdrawal]])</f>
        <v>-3196.1220000000076</v>
      </c>
      <c r="P69" s="376">
        <v>43707</v>
      </c>
      <c r="Q69" s="457">
        <f>IF(ISBLANK(CkReg16_181517[[#This Row],[Withdrawal]]),Q68+CkReg16_181517[[#This Row],[Deposit]],Q68-CkReg16_181517[[#This Row],[Withdrawal]])</f>
        <v>5518.8779999999952</v>
      </c>
      <c r="R69" s="376">
        <v>43707</v>
      </c>
    </row>
    <row r="70" spans="2:20" x14ac:dyDescent="0.3">
      <c r="B70" s="550"/>
      <c r="C70" s="551"/>
      <c r="D70" s="551"/>
      <c r="E70" s="551"/>
      <c r="F70" s="552"/>
      <c r="H70" s="286"/>
      <c r="I70" s="383">
        <v>43712</v>
      </c>
      <c r="J70" s="285"/>
      <c r="K70" s="285" t="s">
        <v>842</v>
      </c>
      <c r="L70" s="285" t="s">
        <v>53</v>
      </c>
      <c r="M70" s="446">
        <v>53.18</v>
      </c>
      <c r="N70" s="451"/>
      <c r="O70" s="451">
        <f>IF(ISBLANK(CkReg16_181517[[#This Row],[Withdrawal]]),O69+CkReg16_181517[[#This Row],[Deposit]],O69-CkReg16_181517[[#This Row],[Withdrawal]])</f>
        <v>-3249.3020000000074</v>
      </c>
      <c r="P70" s="376">
        <v>43712</v>
      </c>
      <c r="Q70" s="457">
        <f>IF(ISBLANK(CkReg16_181517[[#This Row],[Withdrawal]]),Q69+CkReg16_181517[[#This Row],[Deposit]],Q69-CkReg16_181517[[#This Row],[Withdrawal]])</f>
        <v>5465.6979999999949</v>
      </c>
      <c r="R70" s="376"/>
    </row>
    <row r="71" spans="2:20" s="70" customFormat="1" x14ac:dyDescent="0.3">
      <c r="B71" s="550"/>
      <c r="C71" s="551"/>
      <c r="D71" s="551"/>
      <c r="E71" s="551"/>
      <c r="F71" s="552"/>
      <c r="H71" s="416"/>
      <c r="I71" s="383">
        <v>43713</v>
      </c>
      <c r="J71" s="285"/>
      <c r="K71" s="285" t="s">
        <v>843</v>
      </c>
      <c r="L71" s="285" t="s">
        <v>61</v>
      </c>
      <c r="M71" s="446"/>
      <c r="N71" s="453">
        <v>7205.37</v>
      </c>
      <c r="O71" s="451">
        <f>IF(ISBLANK(CkReg16_181517[[#This Row],[Withdrawal]]),O70+CkReg16_181517[[#This Row],[Deposit]],O70-CkReg16_181517[[#This Row],[Withdrawal]])</f>
        <v>3956.0679999999925</v>
      </c>
      <c r="P71" s="376">
        <v>43747</v>
      </c>
      <c r="Q71" s="457">
        <f>IF(ISBLANK(CkReg16_181517[[#This Row],[Withdrawal]]),Q70+CkReg16_181517[[#This Row],[Deposit]],Q70-CkReg16_181517[[#This Row],[Withdrawal]])</f>
        <v>12671.067999999996</v>
      </c>
      <c r="R71" s="417"/>
      <c r="S71" s="465"/>
      <c r="T71" s="465"/>
    </row>
    <row r="72" spans="2:20" s="70" customFormat="1" x14ac:dyDescent="0.3">
      <c r="B72" s="550"/>
      <c r="C72" s="551"/>
      <c r="D72" s="551"/>
      <c r="E72" s="551"/>
      <c r="F72" s="552"/>
      <c r="H72" s="416"/>
      <c r="I72" s="383">
        <v>43714</v>
      </c>
      <c r="J72" s="285"/>
      <c r="K72" s="285" t="s">
        <v>845</v>
      </c>
      <c r="L72" s="285" t="s">
        <v>60</v>
      </c>
      <c r="M72" s="446"/>
      <c r="N72" s="454">
        <v>1635.5</v>
      </c>
      <c r="O72" s="451">
        <f>IF(ISBLANK(CkReg16_181517[[#This Row],[Withdrawal]]),O71+CkReg16_181517[[#This Row],[Deposit]],O71-CkReg16_181517[[#This Row],[Withdrawal]])</f>
        <v>5591.567999999992</v>
      </c>
      <c r="P72" s="376">
        <v>43717</v>
      </c>
      <c r="Q72" s="457">
        <f>IF(ISBLANK(CkReg16_181517[[#This Row],[Withdrawal]]),Q71+CkReg16_181517[[#This Row],[Deposit]],Q71-CkReg16_181517[[#This Row],[Withdrawal]])</f>
        <v>14306.567999999996</v>
      </c>
      <c r="R72" s="417"/>
      <c r="S72" s="465"/>
      <c r="T72" s="465"/>
    </row>
    <row r="73" spans="2:20" x14ac:dyDescent="0.3">
      <c r="B73" s="553"/>
      <c r="C73" s="554"/>
      <c r="D73" s="554"/>
      <c r="E73" s="554"/>
      <c r="F73" s="555"/>
      <c r="H73" s="286"/>
      <c r="I73" s="383">
        <v>43714</v>
      </c>
      <c r="J73" s="285"/>
      <c r="K73" s="285" t="s">
        <v>845</v>
      </c>
      <c r="L73" s="285" t="s">
        <v>61</v>
      </c>
      <c r="M73" s="446"/>
      <c r="N73" s="451">
        <v>3047</v>
      </c>
      <c r="O73" s="451">
        <f>IF(ISBLANK(CkReg16_181517[[#This Row],[Withdrawal]]),O72+CkReg16_181517[[#This Row],[Deposit]],O72-CkReg16_181517[[#This Row],[Withdrawal]])</f>
        <v>8638.567999999992</v>
      </c>
      <c r="P73" s="376">
        <v>43717</v>
      </c>
      <c r="Q73" s="457">
        <f>IF(ISBLANK(CkReg16_181517[[#This Row],[Withdrawal]]),Q72+CkReg16_181517[[#This Row],[Deposit]],Q72-CkReg16_181517[[#This Row],[Withdrawal]])</f>
        <v>17353.567999999996</v>
      </c>
      <c r="R73" s="376"/>
    </row>
    <row r="74" spans="2:20" x14ac:dyDescent="0.3">
      <c r="H74" s="286"/>
      <c r="I74" s="383">
        <v>43714</v>
      </c>
      <c r="J74" s="285"/>
      <c r="K74" s="285" t="s">
        <v>846</v>
      </c>
      <c r="L74" s="285" t="s">
        <v>60</v>
      </c>
      <c r="M74" s="446"/>
      <c r="N74" s="451">
        <v>310</v>
      </c>
      <c r="O74" s="451">
        <f>IF(ISBLANK(CkReg16_181517[[#This Row],[Withdrawal]]),O73+CkReg16_181517[[#This Row],[Deposit]],O73-CkReg16_181517[[#This Row],[Withdrawal]])</f>
        <v>8948.567999999992</v>
      </c>
      <c r="P74" s="376">
        <v>43717</v>
      </c>
      <c r="Q74" s="457">
        <f>IF(ISBLANK(CkReg16_181517[[#This Row],[Withdrawal]]),Q73+CkReg16_181517[[#This Row],[Deposit]],Q73-CkReg16_181517[[#This Row],[Withdrawal]])</f>
        <v>17663.567999999996</v>
      </c>
      <c r="R74" s="376"/>
    </row>
    <row r="75" spans="2:20" x14ac:dyDescent="0.3">
      <c r="H75" s="286"/>
      <c r="I75" s="383">
        <v>43714</v>
      </c>
      <c r="J75" s="285"/>
      <c r="K75" s="285" t="s">
        <v>847</v>
      </c>
      <c r="L75" s="285" t="s">
        <v>61</v>
      </c>
      <c r="M75" s="446"/>
      <c r="N75" s="451">
        <v>390</v>
      </c>
      <c r="O75" s="451">
        <f>IF(ISBLANK(CkReg16_181517[[#This Row],[Withdrawal]]),O74+CkReg16_181517[[#This Row],[Deposit]],O74-CkReg16_181517[[#This Row],[Withdrawal]])</f>
        <v>9338.567999999992</v>
      </c>
      <c r="P75" s="376">
        <v>43717</v>
      </c>
      <c r="Q75" s="457">
        <f>IF(ISBLANK(CkReg16_181517[[#This Row],[Withdrawal]]),Q74+CkReg16_181517[[#This Row],[Deposit]],Q74-CkReg16_181517[[#This Row],[Withdrawal]])</f>
        <v>18053.567999999996</v>
      </c>
      <c r="R75" s="376"/>
    </row>
    <row r="76" spans="2:20" x14ac:dyDescent="0.3">
      <c r="H76" s="286"/>
      <c r="I76" s="383">
        <v>43715</v>
      </c>
      <c r="J76" s="285"/>
      <c r="K76" s="285" t="s">
        <v>848</v>
      </c>
      <c r="L76" s="285" t="s">
        <v>60</v>
      </c>
      <c r="M76" s="446"/>
      <c r="N76" s="451">
        <v>692</v>
      </c>
      <c r="O76" s="451">
        <f>IF(ISBLANK(CkReg16_181517[[#This Row],[Withdrawal]]),O75+CkReg16_181517[[#This Row],[Deposit]],O75-CkReg16_181517[[#This Row],[Withdrawal]])</f>
        <v>10030.567999999992</v>
      </c>
      <c r="P76" s="376">
        <v>43717</v>
      </c>
      <c r="Q76" s="457">
        <f>IF(ISBLANK(CkReg16_181517[[#This Row],[Withdrawal]]),Q75+CkReg16_181517[[#This Row],[Deposit]],Q75-CkReg16_181517[[#This Row],[Withdrawal]])</f>
        <v>18745.567999999996</v>
      </c>
      <c r="R76" s="376"/>
    </row>
    <row r="77" spans="2:20" x14ac:dyDescent="0.3">
      <c r="H77" s="286"/>
      <c r="I77" s="383">
        <v>43715</v>
      </c>
      <c r="J77" s="285"/>
      <c r="K77" s="285" t="s">
        <v>848</v>
      </c>
      <c r="L77" s="285" t="s">
        <v>61</v>
      </c>
      <c r="M77" s="446"/>
      <c r="N77" s="451">
        <v>150</v>
      </c>
      <c r="O77" s="451">
        <f>IF(ISBLANK(CkReg16_181517[[#This Row],[Withdrawal]]),O76+CkReg16_181517[[#This Row],[Deposit]],O76-CkReg16_181517[[#This Row],[Withdrawal]])</f>
        <v>10180.567999999992</v>
      </c>
      <c r="P77" s="376">
        <v>43717</v>
      </c>
      <c r="Q77" s="457">
        <f>IF(ISBLANK(CkReg16_181517[[#This Row],[Withdrawal]]),Q76+CkReg16_181517[[#This Row],[Deposit]],Q76-CkReg16_181517[[#This Row],[Withdrawal]])</f>
        <v>18895.567999999996</v>
      </c>
      <c r="R77" s="376"/>
    </row>
    <row r="78" spans="2:20" x14ac:dyDescent="0.3">
      <c r="H78" s="286"/>
      <c r="I78" s="383">
        <v>43715</v>
      </c>
      <c r="J78" s="285"/>
      <c r="K78" s="285" t="s">
        <v>844</v>
      </c>
      <c r="L78" s="285" t="s">
        <v>70</v>
      </c>
      <c r="M78" s="446">
        <v>-100</v>
      </c>
      <c r="N78" s="451"/>
      <c r="O78" s="451">
        <f>IF(ISBLANK(CkReg16_181517[[#This Row],[Withdrawal]]),O77+CkReg16_181517[[#This Row],[Deposit]],O77-CkReg16_181517[[#This Row],[Withdrawal]])</f>
        <v>10280.567999999992</v>
      </c>
      <c r="P78" s="376">
        <v>43717</v>
      </c>
      <c r="Q78" s="457">
        <f>IF(ISBLANK(CkReg16_181517[[#This Row],[Withdrawal]]),Q77+CkReg16_181517[[#This Row],[Deposit]],Q77-CkReg16_181517[[#This Row],[Withdrawal]])</f>
        <v>18995.567999999996</v>
      </c>
      <c r="R78" s="376"/>
    </row>
    <row r="79" spans="2:20" x14ac:dyDescent="0.3">
      <c r="H79" s="286"/>
      <c r="I79" s="383">
        <v>43715</v>
      </c>
      <c r="J79" s="285"/>
      <c r="K79" s="285" t="s">
        <v>849</v>
      </c>
      <c r="L79" s="285" t="s">
        <v>61</v>
      </c>
      <c r="M79" s="446"/>
      <c r="N79" s="451">
        <v>140</v>
      </c>
      <c r="O79" s="451">
        <f>IF(ISBLANK(CkReg16_181517[[#This Row],[Withdrawal]]),O78+CkReg16_181517[[#This Row],[Deposit]],O78-CkReg16_181517[[#This Row],[Withdrawal]])</f>
        <v>10420.567999999992</v>
      </c>
      <c r="P79" s="376">
        <v>43717</v>
      </c>
      <c r="Q79" s="457">
        <f>IF(ISBLANK(CkReg16_181517[[#This Row],[Withdrawal]]),Q78+CkReg16_181517[[#This Row],[Deposit]],Q78-CkReg16_181517[[#This Row],[Withdrawal]])</f>
        <v>19135.567999999996</v>
      </c>
      <c r="R79" s="376"/>
    </row>
    <row r="80" spans="2:20" x14ac:dyDescent="0.3">
      <c r="H80" s="286"/>
      <c r="I80" s="383">
        <v>43715</v>
      </c>
      <c r="J80" s="285"/>
      <c r="K80" s="285" t="s">
        <v>849</v>
      </c>
      <c r="L80" s="285" t="s">
        <v>60</v>
      </c>
      <c r="M80" s="446"/>
      <c r="N80" s="451">
        <v>805</v>
      </c>
      <c r="O80" s="451">
        <f>IF(ISBLANK(CkReg16_181517[[#This Row],[Withdrawal]]),O79+CkReg16_181517[[#This Row],[Deposit]],O79-CkReg16_181517[[#This Row],[Withdrawal]])</f>
        <v>11225.567999999992</v>
      </c>
      <c r="P80" s="376">
        <v>43717</v>
      </c>
      <c r="Q80" s="457">
        <f>IF(ISBLANK(CkReg16_181517[[#This Row],[Withdrawal]]),Q79+CkReg16_181517[[#This Row],[Deposit]],Q79-CkReg16_181517[[#This Row],[Withdrawal]])</f>
        <v>19940.567999999996</v>
      </c>
      <c r="R80" s="376"/>
    </row>
    <row r="81" spans="2:20" x14ac:dyDescent="0.3">
      <c r="H81" s="286"/>
      <c r="I81" s="383">
        <v>43715</v>
      </c>
      <c r="J81" s="285"/>
      <c r="K81" s="285" t="s">
        <v>850</v>
      </c>
      <c r="L81" s="285" t="s">
        <v>60</v>
      </c>
      <c r="M81" s="446"/>
      <c r="N81" s="451">
        <v>442</v>
      </c>
      <c r="O81" s="451">
        <f>IF(ISBLANK(CkReg16_181517[[#This Row],[Withdrawal]]),O80+CkReg16_181517[[#This Row],[Deposit]],O80-CkReg16_181517[[#This Row],[Withdrawal]])</f>
        <v>11667.567999999992</v>
      </c>
      <c r="P81" s="376">
        <v>43717</v>
      </c>
      <c r="Q81" s="457">
        <f>IF(ISBLANK(CkReg16_181517[[#This Row],[Withdrawal]]),Q80+CkReg16_181517[[#This Row],[Deposit]],Q80-CkReg16_181517[[#This Row],[Withdrawal]])</f>
        <v>20382.567999999996</v>
      </c>
      <c r="R81" s="376"/>
    </row>
    <row r="82" spans="2:20" x14ac:dyDescent="0.3">
      <c r="H82" s="286"/>
      <c r="I82" s="383">
        <v>43716</v>
      </c>
      <c r="J82" s="285"/>
      <c r="K82" s="285" t="s">
        <v>851</v>
      </c>
      <c r="L82" s="285" t="s">
        <v>60</v>
      </c>
      <c r="M82" s="446"/>
      <c r="N82" s="451">
        <v>390</v>
      </c>
      <c r="O82" s="451">
        <f>IF(ISBLANK(CkReg16_181517[[#This Row],[Withdrawal]]),O81+CkReg16_181517[[#This Row],[Deposit]],O81-CkReg16_181517[[#This Row],[Withdrawal]])</f>
        <v>12057.567999999992</v>
      </c>
      <c r="P82" s="376">
        <v>43717</v>
      </c>
      <c r="Q82" s="457">
        <f>IF(ISBLANK(CkReg16_181517[[#This Row],[Withdrawal]]),Q81+CkReg16_181517[[#This Row],[Deposit]],Q81-CkReg16_181517[[#This Row],[Withdrawal]])</f>
        <v>20772.567999999996</v>
      </c>
      <c r="R82" s="376"/>
    </row>
    <row r="83" spans="2:20" x14ac:dyDescent="0.3">
      <c r="H83" s="286"/>
      <c r="I83" s="383">
        <v>43716</v>
      </c>
      <c r="J83" s="285"/>
      <c r="K83" s="285" t="s">
        <v>844</v>
      </c>
      <c r="L83" s="285" t="s">
        <v>67</v>
      </c>
      <c r="M83" s="446">
        <v>-100</v>
      </c>
      <c r="N83" s="451"/>
      <c r="O83" s="451">
        <f>IF(ISBLANK(CkReg16_181517[[#This Row],[Withdrawal]]),O82+CkReg16_181517[[#This Row],[Deposit]],O82-CkReg16_181517[[#This Row],[Withdrawal]])</f>
        <v>12157.567999999992</v>
      </c>
      <c r="P83" s="376">
        <v>43717</v>
      </c>
      <c r="Q83" s="457">
        <f>IF(ISBLANK(CkReg16_181517[[#This Row],[Withdrawal]]),Q82+CkReg16_181517[[#This Row],[Deposit]],Q82-CkReg16_181517[[#This Row],[Withdrawal]])</f>
        <v>20872.567999999996</v>
      </c>
      <c r="R83" s="376"/>
    </row>
    <row r="84" spans="2:20" x14ac:dyDescent="0.3">
      <c r="H84" s="286"/>
      <c r="I84" s="383">
        <v>43717</v>
      </c>
      <c r="J84" s="285"/>
      <c r="K84" s="285" t="s">
        <v>864</v>
      </c>
      <c r="L84" s="285" t="s">
        <v>60</v>
      </c>
      <c r="M84" s="446"/>
      <c r="N84" s="451">
        <v>1526.45</v>
      </c>
      <c r="O84" s="451">
        <f>IF(ISBLANK(CkReg16_181517[[#This Row],[Withdrawal]]),O83+CkReg16_181517[[#This Row],[Deposit]],O83-CkReg16_181517[[#This Row],[Withdrawal]])</f>
        <v>13684.017999999993</v>
      </c>
      <c r="P84" s="376">
        <v>43717</v>
      </c>
      <c r="Q84" s="457">
        <f>IF(ISBLANK(CkReg16_181517[[#This Row],[Withdrawal]]),Q83+CkReg16_181517[[#This Row],[Deposit]],Q83-CkReg16_181517[[#This Row],[Withdrawal]])</f>
        <v>22399.017999999996</v>
      </c>
      <c r="R84" s="376"/>
    </row>
    <row r="85" spans="2:20" x14ac:dyDescent="0.3">
      <c r="H85" s="286"/>
      <c r="I85" s="383">
        <v>43717</v>
      </c>
      <c r="J85" s="285"/>
      <c r="K85" s="285" t="s">
        <v>864</v>
      </c>
      <c r="L85" s="285" t="s">
        <v>61</v>
      </c>
      <c r="M85" s="446"/>
      <c r="N85" s="451">
        <v>2036.4</v>
      </c>
      <c r="O85" s="451">
        <f>IF(ISBLANK(CkReg16_181517[[#This Row],[Withdrawal]]),O84+CkReg16_181517[[#This Row],[Deposit]],O84-CkReg16_181517[[#This Row],[Withdrawal]])</f>
        <v>15720.417999999992</v>
      </c>
      <c r="P85" s="376">
        <v>43717</v>
      </c>
      <c r="Q85" s="457">
        <f>IF(ISBLANK(CkReg16_181517[[#This Row],[Withdrawal]]),Q84+CkReg16_181517[[#This Row],[Deposit]],Q84-CkReg16_181517[[#This Row],[Withdrawal]])</f>
        <v>24435.417999999998</v>
      </c>
      <c r="R85" s="376"/>
    </row>
    <row r="86" spans="2:20" x14ac:dyDescent="0.3">
      <c r="H86" s="418"/>
      <c r="I86" s="383">
        <v>43717</v>
      </c>
      <c r="J86" s="419"/>
      <c r="K86" s="419" t="s">
        <v>865</v>
      </c>
      <c r="L86" s="419" t="s">
        <v>60</v>
      </c>
      <c r="M86" s="446"/>
      <c r="N86" s="451">
        <v>489.86</v>
      </c>
      <c r="O86" s="451">
        <f>IF(ISBLANK(CkReg16_181517[[#This Row],[Withdrawal]]),O85+CkReg16_181517[[#This Row],[Deposit]],O85-CkReg16_181517[[#This Row],[Withdrawal]])</f>
        <v>16210.277999999993</v>
      </c>
      <c r="P86" s="376">
        <v>43717</v>
      </c>
      <c r="Q86" s="457">
        <f>IF(ISBLANK(CkReg16_181517[[#This Row],[Withdrawal]]),Q85+CkReg16_181517[[#This Row],[Deposit]],Q85-CkReg16_181517[[#This Row],[Withdrawal]])</f>
        <v>24925.277999999998</v>
      </c>
      <c r="R86" s="376"/>
    </row>
    <row r="87" spans="2:20" x14ac:dyDescent="0.3">
      <c r="H87" s="286"/>
      <c r="I87" s="383">
        <v>43717</v>
      </c>
      <c r="J87" s="285"/>
      <c r="K87" s="285" t="s">
        <v>865</v>
      </c>
      <c r="L87" s="285" t="s">
        <v>61</v>
      </c>
      <c r="M87" s="446"/>
      <c r="N87" s="451">
        <v>815.84</v>
      </c>
      <c r="O87" s="451">
        <f>IF(ISBLANK(CkReg16_181517[[#This Row],[Withdrawal]]),O86+CkReg16_181517[[#This Row],[Deposit]],O86-CkReg16_181517[[#This Row],[Withdrawal]])</f>
        <v>17026.117999999991</v>
      </c>
      <c r="P87" s="376">
        <v>43717</v>
      </c>
      <c r="Q87" s="457">
        <f>IF(ISBLANK(CkReg16_181517[[#This Row],[Withdrawal]]),Q86+CkReg16_181517[[#This Row],[Deposit]],Q86-CkReg16_181517[[#This Row],[Withdrawal]])</f>
        <v>25741.117999999999</v>
      </c>
      <c r="R87" s="376"/>
    </row>
    <row r="88" spans="2:20" x14ac:dyDescent="0.3">
      <c r="H88" s="286">
        <v>3373</v>
      </c>
      <c r="I88" s="383">
        <v>43715</v>
      </c>
      <c r="J88" s="285" t="s">
        <v>863</v>
      </c>
      <c r="K88" s="285" t="s">
        <v>866</v>
      </c>
      <c r="L88" s="285" t="s">
        <v>68</v>
      </c>
      <c r="M88" s="446">
        <v>550</v>
      </c>
      <c r="N88" s="451"/>
      <c r="O88" s="451">
        <f>IF(ISBLANK(CkReg16_181517[[#This Row],[Withdrawal]]),O87+CkReg16_181517[[#This Row],[Deposit]],O87-CkReg16_181517[[#This Row],[Withdrawal]])</f>
        <v>16476.117999999991</v>
      </c>
      <c r="P88" s="376">
        <v>43717</v>
      </c>
      <c r="Q88" s="457">
        <f>IF(ISBLANK(CkReg16_181517[[#This Row],[Withdrawal]]),Q87+CkReg16_181517[[#This Row],[Deposit]],Q87-CkReg16_181517[[#This Row],[Withdrawal]])</f>
        <v>25191.117999999999</v>
      </c>
      <c r="R88" s="376"/>
    </row>
    <row r="89" spans="2:20" x14ac:dyDescent="0.3">
      <c r="H89" s="286">
        <v>3374</v>
      </c>
      <c r="I89" s="383">
        <v>43726</v>
      </c>
      <c r="J89" s="285" t="s">
        <v>797</v>
      </c>
      <c r="K89" s="285"/>
      <c r="L89" s="285" t="s">
        <v>69</v>
      </c>
      <c r="M89" s="446">
        <v>5220</v>
      </c>
      <c r="N89" s="451"/>
      <c r="O89" s="451">
        <f>IF(ISBLANK(CkReg16_181517[[#This Row],[Withdrawal]]),O88+CkReg16_181517[[#This Row],[Deposit]],O88-CkReg16_181517[[#This Row],[Withdrawal]])</f>
        <v>11256.117999999991</v>
      </c>
      <c r="P89" s="376">
        <v>43747</v>
      </c>
      <c r="Q89" s="457">
        <f>IF(ISBLANK(CkReg16_181517[[#This Row],[Withdrawal]]),Q88+CkReg16_181517[[#This Row],[Deposit]],Q88-CkReg16_181517[[#This Row],[Withdrawal]])</f>
        <v>19971.117999999999</v>
      </c>
      <c r="R89" s="376"/>
    </row>
    <row r="90" spans="2:20" s="70" customFormat="1" x14ac:dyDescent="0.3">
      <c r="B90" s="96"/>
      <c r="C90" s="96"/>
      <c r="D90" s="96"/>
      <c r="E90" s="96"/>
      <c r="H90" s="286">
        <v>3374</v>
      </c>
      <c r="I90" s="383">
        <v>43726</v>
      </c>
      <c r="J90" s="285" t="s">
        <v>797</v>
      </c>
      <c r="K90" s="285"/>
      <c r="L90" s="285" t="s">
        <v>66</v>
      </c>
      <c r="M90" s="446">
        <v>784</v>
      </c>
      <c r="N90" s="451"/>
      <c r="O90" s="451">
        <f>IF(ISBLANK(CkReg16_181517[[#This Row],[Withdrawal]]),O89+CkReg16_181517[[#This Row],[Deposit]],O89-CkReg16_181517[[#This Row],[Withdrawal]])</f>
        <v>10472.117999999991</v>
      </c>
      <c r="P90" s="376">
        <v>43747</v>
      </c>
      <c r="Q90" s="457">
        <f>IF(ISBLANK(CkReg16_181517[[#This Row],[Withdrawal]]),Q89+CkReg16_181517[[#This Row],[Deposit]],Q89-CkReg16_181517[[#This Row],[Withdrawal]])</f>
        <v>19187.117999999999</v>
      </c>
      <c r="R90" s="376"/>
      <c r="S90" s="465"/>
      <c r="T90" s="465"/>
    </row>
    <row r="91" spans="2:20" x14ac:dyDescent="0.3">
      <c r="H91" s="286">
        <v>3374</v>
      </c>
      <c r="I91" s="383">
        <v>43726</v>
      </c>
      <c r="J91" s="285" t="s">
        <v>797</v>
      </c>
      <c r="K91" s="285" t="s">
        <v>867</v>
      </c>
      <c r="L91" s="285" t="s">
        <v>68</v>
      </c>
      <c r="M91" s="446">
        <v>210</v>
      </c>
      <c r="N91" s="451"/>
      <c r="O91" s="451">
        <f>IF(ISBLANK(CkReg16_181517[[#This Row],[Withdrawal]]),O90+CkReg16_181517[[#This Row],[Deposit]],O90-CkReg16_181517[[#This Row],[Withdrawal]])</f>
        <v>10262.117999999991</v>
      </c>
      <c r="P91" s="376">
        <v>43747</v>
      </c>
      <c r="Q91" s="457">
        <f>IF(ISBLANK(CkReg16_181517[[#This Row],[Withdrawal]]),Q90+CkReg16_181517[[#This Row],[Deposit]],Q90-CkReg16_181517[[#This Row],[Withdrawal]])</f>
        <v>18977.117999999999</v>
      </c>
      <c r="R91" s="376"/>
    </row>
    <row r="92" spans="2:20" s="70" customFormat="1" x14ac:dyDescent="0.3">
      <c r="B92" s="96"/>
      <c r="C92" s="96"/>
      <c r="D92" s="96"/>
      <c r="E92" s="96"/>
      <c r="H92" s="286">
        <v>3374</v>
      </c>
      <c r="I92" s="383">
        <v>43726</v>
      </c>
      <c r="J92" s="285" t="s">
        <v>797</v>
      </c>
      <c r="K92" s="285" t="s">
        <v>868</v>
      </c>
      <c r="L92" s="285" t="s">
        <v>72</v>
      </c>
      <c r="M92" s="446">
        <v>58</v>
      </c>
      <c r="N92" s="451"/>
      <c r="O92" s="451">
        <f>IF(ISBLANK(CkReg16_181517[[#This Row],[Withdrawal]]),O91+CkReg16_181517[[#This Row],[Deposit]],O91-CkReg16_181517[[#This Row],[Withdrawal]])</f>
        <v>10204.117999999991</v>
      </c>
      <c r="P92" s="417">
        <v>43747</v>
      </c>
      <c r="Q92" s="457">
        <f>IF(ISBLANK(CkReg16_181517[[#This Row],[Withdrawal]]),Q91+CkReg16_181517[[#This Row],[Deposit]],Q91-CkReg16_181517[[#This Row],[Withdrawal]])</f>
        <v>18919.117999999999</v>
      </c>
      <c r="R92" s="417"/>
      <c r="S92" s="465"/>
      <c r="T92" s="465"/>
    </row>
    <row r="93" spans="2:20" x14ac:dyDescent="0.3">
      <c r="H93" s="286">
        <v>3374</v>
      </c>
      <c r="I93" s="383">
        <v>43726</v>
      </c>
      <c r="J93" s="285" t="s">
        <v>797</v>
      </c>
      <c r="K93" s="285" t="s">
        <v>869</v>
      </c>
      <c r="L93" s="285" t="s">
        <v>70</v>
      </c>
      <c r="M93" s="446">
        <v>200</v>
      </c>
      <c r="N93" s="451"/>
      <c r="O93" s="451">
        <f>IF(ISBLANK(CkReg16_181517[[#This Row],[Withdrawal]]),O92+CkReg16_181517[[#This Row],[Deposit]],O92-CkReg16_181517[[#This Row],[Withdrawal]])</f>
        <v>10004.117999999991</v>
      </c>
      <c r="P93" s="376">
        <v>43747</v>
      </c>
      <c r="Q93" s="457">
        <f>IF(ISBLANK(CkReg16_181517[[#This Row],[Withdrawal]]),Q92+CkReg16_181517[[#This Row],[Deposit]],Q92-CkReg16_181517[[#This Row],[Withdrawal]])</f>
        <v>18719.117999999999</v>
      </c>
      <c r="R93" s="376"/>
    </row>
    <row r="94" spans="2:20" x14ac:dyDescent="0.3">
      <c r="H94" s="286">
        <v>3375</v>
      </c>
      <c r="I94" s="383">
        <v>43726</v>
      </c>
      <c r="J94" s="285" t="s">
        <v>772</v>
      </c>
      <c r="K94" s="285"/>
      <c r="L94" s="285" t="s">
        <v>66</v>
      </c>
      <c r="M94" s="446">
        <v>3013.11</v>
      </c>
      <c r="N94" s="451"/>
      <c r="O94" s="451">
        <f>IF(ISBLANK(CkReg16_181517[[#This Row],[Withdrawal]]),O93+CkReg16_181517[[#This Row],[Deposit]],O93-CkReg16_181517[[#This Row],[Withdrawal]])</f>
        <v>6991.0079999999907</v>
      </c>
      <c r="P94" s="376">
        <v>43741</v>
      </c>
      <c r="Q94" s="457">
        <f>IF(ISBLANK(CkReg16_181517[[#This Row],[Withdrawal]]),Q93+CkReg16_181517[[#This Row],[Deposit]],Q93-CkReg16_181517[[#This Row],[Withdrawal]])</f>
        <v>15706.007999999998</v>
      </c>
      <c r="R94" s="417"/>
    </row>
    <row r="95" spans="2:20" x14ac:dyDescent="0.3">
      <c r="H95" s="286"/>
      <c r="I95" s="383">
        <v>43719</v>
      </c>
      <c r="J95" s="285"/>
      <c r="K95" s="285" t="s">
        <v>870</v>
      </c>
      <c r="L95" s="285" t="s">
        <v>61</v>
      </c>
      <c r="M95" s="446"/>
      <c r="N95" s="451">
        <v>-80</v>
      </c>
      <c r="O95" s="451">
        <f>IF(ISBLANK(CkReg16_181517[[#This Row],[Withdrawal]]),O94+CkReg16_181517[[#This Row],[Deposit]],O94-CkReg16_181517[[#This Row],[Withdrawal]])</f>
        <v>6911.0079999999907</v>
      </c>
      <c r="P95" s="376">
        <v>43719</v>
      </c>
      <c r="Q95" s="457">
        <f>IF(ISBLANK(CkReg16_181517[[#This Row],[Withdrawal]]),Q94+CkReg16_181517[[#This Row],[Deposit]],Q94-CkReg16_181517[[#This Row],[Withdrawal]])</f>
        <v>15626.007999999998</v>
      </c>
      <c r="R95" s="376"/>
    </row>
    <row r="96" spans="2:20" x14ac:dyDescent="0.3">
      <c r="H96" s="416"/>
      <c r="I96" s="383">
        <v>43738</v>
      </c>
      <c r="J96" s="285"/>
      <c r="K96" s="285"/>
      <c r="L96" s="285" t="s">
        <v>91</v>
      </c>
      <c r="M96" s="446">
        <v>-0.6</v>
      </c>
      <c r="N96" s="451"/>
      <c r="O96" s="451">
        <f>IF(ISBLANK(CkReg16_181517[[#This Row],[Withdrawal]]),O95+CkReg16_181517[[#This Row],[Deposit]],O95-CkReg16_181517[[#This Row],[Withdrawal]])</f>
        <v>6911.6079999999911</v>
      </c>
      <c r="P96" s="376">
        <v>43738</v>
      </c>
      <c r="Q96" s="457">
        <f>IF(ISBLANK(CkReg16_181517[[#This Row],[Withdrawal]]),Q95+CkReg16_181517[[#This Row],[Deposit]],Q95-CkReg16_181517[[#This Row],[Withdrawal]])</f>
        <v>15626.607999999998</v>
      </c>
      <c r="R96" s="376">
        <v>43738</v>
      </c>
    </row>
    <row r="97" spans="4:18" x14ac:dyDescent="0.3">
      <c r="H97" s="416">
        <v>3376</v>
      </c>
      <c r="I97" s="383">
        <v>43743</v>
      </c>
      <c r="J97" s="285" t="s">
        <v>92</v>
      </c>
      <c r="K97" s="285" t="s">
        <v>738</v>
      </c>
      <c r="L97" s="285" t="s">
        <v>43</v>
      </c>
      <c r="M97" s="446">
        <v>70</v>
      </c>
      <c r="N97" s="451"/>
      <c r="O97" s="451">
        <f>IF(ISBLANK(CkReg16_181517[[#This Row],[Withdrawal]]),O96+CkReg16_181517[[#This Row],[Deposit]],O96-CkReg16_181517[[#This Row],[Withdrawal]])</f>
        <v>6841.6079999999911</v>
      </c>
      <c r="P97" s="376">
        <v>43745</v>
      </c>
      <c r="Q97" s="457">
        <f>IF(ISBLANK(CkReg16_181517[[#This Row],[Withdrawal]]),Q96+CkReg16_181517[[#This Row],[Deposit]],Q96-CkReg16_181517[[#This Row],[Withdrawal]])</f>
        <v>15556.607999999998</v>
      </c>
      <c r="R97" s="376"/>
    </row>
    <row r="98" spans="4:18" x14ac:dyDescent="0.3">
      <c r="H98" s="286">
        <v>3377</v>
      </c>
      <c r="I98" s="383">
        <v>43743</v>
      </c>
      <c r="J98" s="285" t="s">
        <v>93</v>
      </c>
      <c r="K98" s="285" t="s">
        <v>874</v>
      </c>
      <c r="L98" s="285" t="s">
        <v>68</v>
      </c>
      <c r="M98" s="446">
        <v>38.33</v>
      </c>
      <c r="N98" s="451"/>
      <c r="O98" s="451">
        <f>IF(ISBLANK(CkReg16_181517[[#This Row],[Withdrawal]]),O97+CkReg16_181517[[#This Row],[Deposit]],O97-CkReg16_181517[[#This Row],[Withdrawal]])</f>
        <v>6803.2779999999912</v>
      </c>
      <c r="P98" s="376">
        <v>43755</v>
      </c>
      <c r="Q98" s="457">
        <f>IF(ISBLANK(CkReg16_181517[[#This Row],[Withdrawal]]),Q97+CkReg16_181517[[#This Row],[Deposit]],Q97-CkReg16_181517[[#This Row],[Withdrawal]])</f>
        <v>15518.277999999998</v>
      </c>
      <c r="R98" s="376"/>
    </row>
    <row r="99" spans="4:18" x14ac:dyDescent="0.3">
      <c r="H99" s="286">
        <v>3378</v>
      </c>
      <c r="I99" s="383">
        <v>43743</v>
      </c>
      <c r="J99" s="285" t="s">
        <v>875</v>
      </c>
      <c r="K99" s="285" t="s">
        <v>876</v>
      </c>
      <c r="L99" s="285" t="s">
        <v>63</v>
      </c>
      <c r="M99" s="446">
        <v>42.2</v>
      </c>
      <c r="N99" s="451"/>
      <c r="O99" s="451">
        <f>IF(ISBLANK(CkReg16_181517[[#This Row],[Withdrawal]]),O98+CkReg16_181517[[#This Row],[Deposit]],O98-CkReg16_181517[[#This Row],[Withdrawal]])</f>
        <v>6761.0779999999913</v>
      </c>
      <c r="P99" s="376">
        <v>43746</v>
      </c>
      <c r="Q99" s="457">
        <f>IF(ISBLANK(CkReg16_181517[[#This Row],[Withdrawal]]),Q98+CkReg16_181517[[#This Row],[Deposit]],Q98-CkReg16_181517[[#This Row],[Withdrawal]])</f>
        <v>15476.077999999998</v>
      </c>
      <c r="R99" s="376"/>
    </row>
    <row r="100" spans="4:18" x14ac:dyDescent="0.3">
      <c r="H100" s="286">
        <v>3379</v>
      </c>
      <c r="I100" s="383">
        <v>43743</v>
      </c>
      <c r="J100" s="285" t="s">
        <v>84</v>
      </c>
      <c r="K100" s="285" t="s">
        <v>877</v>
      </c>
      <c r="L100" s="285" t="s">
        <v>63</v>
      </c>
      <c r="M100" s="446">
        <v>45</v>
      </c>
      <c r="N100" s="451"/>
      <c r="O100" s="451">
        <f>IF(ISBLANK(CkReg16_181517[[#This Row],[Withdrawal]]),O99+CkReg16_181517[[#This Row],[Deposit]],O99-CkReg16_181517[[#This Row],[Withdrawal]])</f>
        <v>6716.0779999999913</v>
      </c>
      <c r="P100" s="376">
        <v>43745</v>
      </c>
      <c r="Q100" s="457">
        <f>IF(ISBLANK(CkReg16_181517[[#This Row],[Withdrawal]]),Q99+CkReg16_181517[[#This Row],[Deposit]],Q99-CkReg16_181517[[#This Row],[Withdrawal]])</f>
        <v>15431.077999999998</v>
      </c>
      <c r="R100" s="376"/>
    </row>
    <row r="101" spans="4:18" x14ac:dyDescent="0.3">
      <c r="D101" s="99">
        <f>+N3</f>
        <v>13020.217999999993</v>
      </c>
      <c r="H101" s="286">
        <v>3379</v>
      </c>
      <c r="I101" s="383">
        <v>43743</v>
      </c>
      <c r="J101" s="285" t="s">
        <v>84</v>
      </c>
      <c r="K101" s="285" t="s">
        <v>878</v>
      </c>
      <c r="L101" s="285" t="s">
        <v>389</v>
      </c>
      <c r="M101" s="446">
        <v>40</v>
      </c>
      <c r="N101" s="451"/>
      <c r="O101" s="451">
        <f>IF(ISBLANK(CkReg16_181517[[#This Row],[Withdrawal]]),O100+CkReg16_181517[[#This Row],[Deposit]],O100-CkReg16_181517[[#This Row],[Withdrawal]])</f>
        <v>6676.0779999999913</v>
      </c>
      <c r="P101" s="376">
        <v>43745</v>
      </c>
      <c r="Q101" s="457">
        <f>IF(ISBLANK(CkReg16_181517[[#This Row],[Withdrawal]]),Q100+CkReg16_181517[[#This Row],[Deposit]],Q100-CkReg16_181517[[#This Row],[Withdrawal]])</f>
        <v>15391.077999999998</v>
      </c>
      <c r="R101" s="376"/>
    </row>
    <row r="102" spans="4:18" x14ac:dyDescent="0.3">
      <c r="D102" s="99">
        <f>-SUM(M7:M205)</f>
        <v>-22723.040000000019</v>
      </c>
      <c r="H102" s="286">
        <v>3379</v>
      </c>
      <c r="I102" s="383">
        <v>43743</v>
      </c>
      <c r="J102" s="285" t="s">
        <v>84</v>
      </c>
      <c r="K102" s="285" t="s">
        <v>879</v>
      </c>
      <c r="L102" s="285" t="s">
        <v>51</v>
      </c>
      <c r="M102" s="446">
        <v>80</v>
      </c>
      <c r="N102" s="451"/>
      <c r="O102" s="451">
        <f>IF(ISBLANK(CkReg16_181517[[#This Row],[Withdrawal]]),O101+CkReg16_181517[[#This Row],[Deposit]],O101-CkReg16_181517[[#This Row],[Withdrawal]])</f>
        <v>6596.0779999999913</v>
      </c>
      <c r="P102" s="376">
        <v>43745</v>
      </c>
      <c r="Q102" s="457">
        <f>IF(ISBLANK(CkReg16_181517[[#This Row],[Withdrawal]]),Q101+CkReg16_181517[[#This Row],[Deposit]],Q101-CkReg16_181517[[#This Row],[Withdrawal]])</f>
        <v>15311.077999999998</v>
      </c>
      <c r="R102" s="376"/>
    </row>
    <row r="103" spans="4:18" x14ac:dyDescent="0.3">
      <c r="D103" s="99">
        <f>SUM(N7:N205)</f>
        <v>23464.290000000005</v>
      </c>
      <c r="H103" s="286">
        <v>3380</v>
      </c>
      <c r="I103" s="383">
        <v>43743</v>
      </c>
      <c r="J103" s="285" t="s">
        <v>880</v>
      </c>
      <c r="K103" s="285" t="s">
        <v>881</v>
      </c>
      <c r="L103" s="285" t="s">
        <v>34</v>
      </c>
      <c r="M103" s="446">
        <v>250</v>
      </c>
      <c r="N103" s="451"/>
      <c r="O103" s="451">
        <f>IF(ISBLANK(CkReg16_181517[[#This Row],[Withdrawal]]),O102+CkReg16_181517[[#This Row],[Deposit]],O102-CkReg16_181517[[#This Row],[Withdrawal]])</f>
        <v>6346.0779999999913</v>
      </c>
      <c r="P103" s="376">
        <v>43776</v>
      </c>
      <c r="Q103" s="457">
        <f>IF(ISBLANK(CkReg16_181517[[#This Row],[Withdrawal]]),Q102+CkReg16_181517[[#This Row],[Deposit]],Q102-CkReg16_181517[[#This Row],[Withdrawal]])</f>
        <v>15061.077999999998</v>
      </c>
      <c r="R103" s="376"/>
    </row>
    <row r="104" spans="4:18" x14ac:dyDescent="0.3">
      <c r="D104" s="99">
        <f>SUM(D101:D103)</f>
        <v>13761.467999999979</v>
      </c>
      <c r="H104" s="286">
        <v>3381</v>
      </c>
      <c r="I104" s="383">
        <v>43743</v>
      </c>
      <c r="J104" s="285" t="s">
        <v>875</v>
      </c>
      <c r="K104" s="285" t="s">
        <v>876</v>
      </c>
      <c r="L104" s="285" t="s">
        <v>63</v>
      </c>
      <c r="M104" s="446">
        <v>30</v>
      </c>
      <c r="N104" s="451"/>
      <c r="O104" s="451">
        <f>IF(ISBLANK(CkReg16_181517[[#This Row],[Withdrawal]]),O103+CkReg16_181517[[#This Row],[Deposit]],O103-CkReg16_181517[[#This Row],[Withdrawal]])</f>
        <v>6316.0779999999913</v>
      </c>
      <c r="P104" s="376">
        <v>43746</v>
      </c>
      <c r="Q104" s="457">
        <f>IF(ISBLANK(CkReg16_181517[[#This Row],[Withdrawal]]),Q103+CkReg16_181517[[#This Row],[Deposit]],Q103-CkReg16_181517[[#This Row],[Withdrawal]])</f>
        <v>15031.077999999998</v>
      </c>
      <c r="R104" s="376"/>
    </row>
    <row r="105" spans="4:18" x14ac:dyDescent="0.3">
      <c r="H105" s="286">
        <v>3382</v>
      </c>
      <c r="I105" s="383">
        <v>43743</v>
      </c>
      <c r="J105" s="285" t="s">
        <v>833</v>
      </c>
      <c r="K105" s="285" t="s">
        <v>882</v>
      </c>
      <c r="L105" s="285" t="s">
        <v>62</v>
      </c>
      <c r="M105" s="446">
        <v>39.020000000000003</v>
      </c>
      <c r="N105" s="451"/>
      <c r="O105" s="451">
        <f>IF(ISBLANK(CkReg16_181517[[#This Row],[Withdrawal]]),O104+CkReg16_181517[[#This Row],[Deposit]],O104-CkReg16_181517[[#This Row],[Withdrawal]])</f>
        <v>6277.0579999999909</v>
      </c>
      <c r="P105" s="376">
        <v>43745</v>
      </c>
      <c r="Q105" s="457">
        <f>IF(ISBLANK(CkReg16_181517[[#This Row],[Withdrawal]]),Q104+CkReg16_181517[[#This Row],[Deposit]],Q104-CkReg16_181517[[#This Row],[Withdrawal]])</f>
        <v>14992.057999999997</v>
      </c>
      <c r="R105" s="376"/>
    </row>
    <row r="106" spans="4:18" x14ac:dyDescent="0.3">
      <c r="H106" s="286">
        <v>3383</v>
      </c>
      <c r="I106" s="383">
        <v>43743</v>
      </c>
      <c r="J106" s="285" t="s">
        <v>156</v>
      </c>
      <c r="K106" s="285" t="s">
        <v>883</v>
      </c>
      <c r="L106" s="285" t="s">
        <v>704</v>
      </c>
      <c r="M106" s="446">
        <v>414.25</v>
      </c>
      <c r="N106" s="451"/>
      <c r="O106" s="451">
        <f>IF(ISBLANK(CkReg16_181517[[#This Row],[Withdrawal]]),O105+CkReg16_181517[[#This Row],[Deposit]],O105-CkReg16_181517[[#This Row],[Withdrawal]])</f>
        <v>5862.8079999999909</v>
      </c>
      <c r="P106" s="376">
        <v>43767</v>
      </c>
      <c r="Q106" s="457">
        <f>IF(ISBLANK(CkReg16_181517[[#This Row],[Withdrawal]]),Q105+CkReg16_181517[[#This Row],[Deposit]],Q105-CkReg16_181517[[#This Row],[Withdrawal]])</f>
        <v>14577.807999999997</v>
      </c>
      <c r="R106" s="376"/>
    </row>
    <row r="107" spans="4:18" x14ac:dyDescent="0.3">
      <c r="H107" s="286">
        <v>3384</v>
      </c>
      <c r="I107" s="383">
        <v>43743</v>
      </c>
      <c r="J107" s="285" t="s">
        <v>93</v>
      </c>
      <c r="K107" s="285" t="s">
        <v>884</v>
      </c>
      <c r="L107" s="285" t="s">
        <v>39</v>
      </c>
      <c r="M107" s="446">
        <v>42.97</v>
      </c>
      <c r="N107" s="451"/>
      <c r="O107" s="451">
        <f>IF(ISBLANK(CkReg16_181517[[#This Row],[Withdrawal]]),O106+CkReg16_181517[[#This Row],[Deposit]],O106-CkReg16_181517[[#This Row],[Withdrawal]])</f>
        <v>5819.8379999999906</v>
      </c>
      <c r="P107" s="376">
        <v>43755</v>
      </c>
      <c r="Q107" s="457">
        <f>IF(ISBLANK(CkReg16_181517[[#This Row],[Withdrawal]]),Q106+CkReg16_181517[[#This Row],[Deposit]],Q106-CkReg16_181517[[#This Row],[Withdrawal]])</f>
        <v>14534.837999999998</v>
      </c>
      <c r="R107" s="376"/>
    </row>
    <row r="108" spans="4:18" x14ac:dyDescent="0.3">
      <c r="H108" s="286">
        <v>3384</v>
      </c>
      <c r="I108" s="383">
        <v>43743</v>
      </c>
      <c r="J108" s="285" t="s">
        <v>93</v>
      </c>
      <c r="K108" s="285" t="s">
        <v>885</v>
      </c>
      <c r="L108" s="285" t="s">
        <v>389</v>
      </c>
      <c r="M108" s="446">
        <v>21.49</v>
      </c>
      <c r="N108" s="451"/>
      <c r="O108" s="451">
        <f>IF(ISBLANK(CkReg16_181517[[#This Row],[Withdrawal]]),O107+CkReg16_181517[[#This Row],[Deposit]],O107-CkReg16_181517[[#This Row],[Withdrawal]])</f>
        <v>5798.3479999999909</v>
      </c>
      <c r="P108" s="376">
        <v>43755</v>
      </c>
      <c r="Q108" s="457">
        <f>IF(ISBLANK(CkReg16_181517[[#This Row],[Withdrawal]]),Q107+CkReg16_181517[[#This Row],[Deposit]],Q107-CkReg16_181517[[#This Row],[Withdrawal]])</f>
        <v>14513.347999999998</v>
      </c>
      <c r="R108" s="376"/>
    </row>
    <row r="109" spans="4:18" x14ac:dyDescent="0.3">
      <c r="H109" s="286">
        <v>3384</v>
      </c>
      <c r="I109" s="383">
        <v>43743</v>
      </c>
      <c r="J109" s="285" t="s">
        <v>93</v>
      </c>
      <c r="K109" s="285" t="s">
        <v>886</v>
      </c>
      <c r="L109" s="285" t="s">
        <v>704</v>
      </c>
      <c r="M109" s="446">
        <v>21.49</v>
      </c>
      <c r="N109" s="451"/>
      <c r="O109" s="451">
        <f>IF(ISBLANK(CkReg16_181517[[#This Row],[Withdrawal]]),O108+CkReg16_181517[[#This Row],[Deposit]],O108-CkReg16_181517[[#This Row],[Withdrawal]])</f>
        <v>5776.8579999999911</v>
      </c>
      <c r="P109" s="376">
        <v>43755</v>
      </c>
      <c r="Q109" s="457">
        <f>IF(ISBLANK(CkReg16_181517[[#This Row],[Withdrawal]]),Q108+CkReg16_181517[[#This Row],[Deposit]],Q108-CkReg16_181517[[#This Row],[Withdrawal]])</f>
        <v>14491.857999999998</v>
      </c>
      <c r="R109" s="376"/>
    </row>
    <row r="110" spans="4:18" x14ac:dyDescent="0.3">
      <c r="H110" s="286"/>
      <c r="I110" s="383">
        <v>43743</v>
      </c>
      <c r="J110" s="285"/>
      <c r="K110" s="285" t="s">
        <v>887</v>
      </c>
      <c r="L110" s="285" t="s">
        <v>61</v>
      </c>
      <c r="M110" s="446"/>
      <c r="N110" s="451">
        <v>10</v>
      </c>
      <c r="O110" s="451">
        <f>IF(ISBLANK(CkReg16_181517[[#This Row],[Withdrawal]]),O109+CkReg16_181517[[#This Row],[Deposit]],O109-CkReg16_181517[[#This Row],[Withdrawal]])</f>
        <v>5786.8579999999911</v>
      </c>
      <c r="P110" s="376">
        <v>43745</v>
      </c>
      <c r="Q110" s="457">
        <f>IF(ISBLANK(CkReg16_181517[[#This Row],[Withdrawal]]),Q109+CkReg16_181517[[#This Row],[Deposit]],Q109-CkReg16_181517[[#This Row],[Withdrawal]])</f>
        <v>14501.857999999998</v>
      </c>
      <c r="R110" s="376"/>
    </row>
    <row r="111" spans="4:18" x14ac:dyDescent="0.3">
      <c r="H111" s="416"/>
      <c r="I111" s="417">
        <v>43743</v>
      </c>
      <c r="J111" s="416"/>
      <c r="K111" s="416" t="s">
        <v>888</v>
      </c>
      <c r="L111" s="416" t="s">
        <v>65</v>
      </c>
      <c r="M111" s="447">
        <v>-23.42</v>
      </c>
      <c r="N111" s="451"/>
      <c r="O111" s="451">
        <f>IF(ISBLANK(CkReg16_181517[[#This Row],[Withdrawal]]),O110+CkReg16_181517[[#This Row],[Deposit]],O110-CkReg16_181517[[#This Row],[Withdrawal]])</f>
        <v>5810.2779999999912</v>
      </c>
      <c r="P111" s="376">
        <v>43745</v>
      </c>
      <c r="Q111" s="457">
        <f>IF(ISBLANK(CkReg16_181517[[#This Row],[Withdrawal]]),Q110+CkReg16_181517[[#This Row],[Deposit]],Q110-CkReg16_181517[[#This Row],[Withdrawal]])</f>
        <v>14525.277999999998</v>
      </c>
      <c r="R111" s="376"/>
    </row>
    <row r="112" spans="4:18" x14ac:dyDescent="0.3">
      <c r="H112" s="416"/>
      <c r="I112" s="417">
        <v>43743</v>
      </c>
      <c r="J112" s="416"/>
      <c r="K112" s="416" t="s">
        <v>889</v>
      </c>
      <c r="L112" s="285" t="s">
        <v>64</v>
      </c>
      <c r="M112" s="446">
        <v>-10.48</v>
      </c>
      <c r="N112" s="451"/>
      <c r="O112" s="451">
        <f>IF(ISBLANK(CkReg16_181517[[#This Row],[Withdrawal]]),O111+CkReg16_181517[[#This Row],[Deposit]],O111-CkReg16_181517[[#This Row],[Withdrawal]])</f>
        <v>5820.7579999999907</v>
      </c>
      <c r="P112" s="376">
        <v>43745</v>
      </c>
      <c r="Q112" s="457">
        <f>IF(ISBLANK(CkReg16_181517[[#This Row],[Withdrawal]]),Q111+CkReg16_181517[[#This Row],[Deposit]],Q111-CkReg16_181517[[#This Row],[Withdrawal]])</f>
        <v>14535.757999999998</v>
      </c>
      <c r="R112" s="376"/>
    </row>
    <row r="113" spans="2:20" x14ac:dyDescent="0.3">
      <c r="H113" s="286"/>
      <c r="I113" s="383">
        <v>43743</v>
      </c>
      <c r="J113" s="285"/>
      <c r="K113" s="285" t="s">
        <v>890</v>
      </c>
      <c r="L113" s="285" t="s">
        <v>68</v>
      </c>
      <c r="M113" s="446">
        <v>-10.41</v>
      </c>
      <c r="N113" s="451"/>
      <c r="O113" s="451">
        <f>IF(ISBLANK(CkReg16_181517[[#This Row],[Withdrawal]]),O112+CkReg16_181517[[#This Row],[Deposit]],O112-CkReg16_181517[[#This Row],[Withdrawal]])</f>
        <v>5831.1679999999906</v>
      </c>
      <c r="P113" s="376">
        <v>43745</v>
      </c>
      <c r="Q113" s="457">
        <f>IF(ISBLANK(CkReg16_181517[[#This Row],[Withdrawal]]),Q112+CkReg16_181517[[#This Row],[Deposit]],Q112-CkReg16_181517[[#This Row],[Withdrawal]])</f>
        <v>14546.167999999998</v>
      </c>
      <c r="R113" s="376"/>
    </row>
    <row r="114" spans="2:20" x14ac:dyDescent="0.3">
      <c r="H114" s="416"/>
      <c r="I114" s="417">
        <v>43743</v>
      </c>
      <c r="J114" s="416"/>
      <c r="K114" s="416" t="s">
        <v>891</v>
      </c>
      <c r="L114" s="416" t="s">
        <v>60</v>
      </c>
      <c r="M114" s="447"/>
      <c r="N114" s="453">
        <v>30</v>
      </c>
      <c r="O114" s="451">
        <f>IF(ISBLANK(CkReg16_181517[[#This Row],[Withdrawal]]),O113+CkReg16_181517[[#This Row],[Deposit]],O113-CkReg16_181517[[#This Row],[Withdrawal]])</f>
        <v>5861.1679999999906</v>
      </c>
      <c r="P114" s="376">
        <v>43745</v>
      </c>
      <c r="Q114" s="457">
        <f>IF(ISBLANK(CkReg16_181517[[#This Row],[Withdrawal]]),Q113+CkReg16_181517[[#This Row],[Deposit]],Q113-CkReg16_181517[[#This Row],[Withdrawal]])</f>
        <v>14576.167999999998</v>
      </c>
      <c r="R114" s="376"/>
    </row>
    <row r="115" spans="2:20" x14ac:dyDescent="0.3">
      <c r="H115" s="286"/>
      <c r="I115" s="383">
        <v>43743</v>
      </c>
      <c r="J115" s="285"/>
      <c r="K115" s="285" t="s">
        <v>892</v>
      </c>
      <c r="L115" s="285" t="s">
        <v>67</v>
      </c>
      <c r="M115" s="446">
        <v>-62.37</v>
      </c>
      <c r="N115" s="451"/>
      <c r="O115" s="451">
        <f>IF(ISBLANK(CkReg16_181517[[#This Row],[Withdrawal]]),O114+CkReg16_181517[[#This Row],[Deposit]],O114-CkReg16_181517[[#This Row],[Withdrawal]])</f>
        <v>5923.5379999999905</v>
      </c>
      <c r="P115" s="376">
        <v>43745</v>
      </c>
      <c r="Q115" s="457">
        <f>IF(ISBLANK(CkReg16_181517[[#This Row],[Withdrawal]]),Q114+CkReg16_181517[[#This Row],[Deposit]],Q114-CkReg16_181517[[#This Row],[Withdrawal]])</f>
        <v>14638.537999999999</v>
      </c>
      <c r="R115" s="376"/>
    </row>
    <row r="116" spans="2:20" x14ac:dyDescent="0.3">
      <c r="H116" s="286"/>
      <c r="I116" s="383">
        <v>43743</v>
      </c>
      <c r="J116" s="285"/>
      <c r="K116" s="285" t="s">
        <v>893</v>
      </c>
      <c r="L116" s="285" t="s">
        <v>67</v>
      </c>
      <c r="M116" s="446">
        <v>-118.75</v>
      </c>
      <c r="N116" s="451"/>
      <c r="O116" s="451">
        <f>IF(ISBLANK(CkReg16_181517[[#This Row],[Withdrawal]]),O115+CkReg16_181517[[#This Row],[Deposit]],O115-CkReg16_181517[[#This Row],[Withdrawal]])</f>
        <v>6042.2879999999905</v>
      </c>
      <c r="P116" s="376">
        <v>43745</v>
      </c>
      <c r="Q116" s="457">
        <f>IF(ISBLANK(CkReg16_181517[[#This Row],[Withdrawal]]),Q115+CkReg16_181517[[#This Row],[Deposit]],Q115-CkReg16_181517[[#This Row],[Withdrawal]])</f>
        <v>14757.287999999999</v>
      </c>
      <c r="R116" s="376"/>
    </row>
    <row r="117" spans="2:20" x14ac:dyDescent="0.3">
      <c r="H117" s="286"/>
      <c r="I117" s="383">
        <v>43743</v>
      </c>
      <c r="J117" s="285"/>
      <c r="K117" s="285" t="s">
        <v>32</v>
      </c>
      <c r="L117" s="285" t="s">
        <v>32</v>
      </c>
      <c r="M117" s="446"/>
      <c r="N117" s="451">
        <v>240</v>
      </c>
      <c r="O117" s="451">
        <f>IF(ISBLANK(CkReg16_181517[[#This Row],[Withdrawal]]),O116+CkReg16_181517[[#This Row],[Deposit]],O116-CkReg16_181517[[#This Row],[Withdrawal]])</f>
        <v>6282.2879999999905</v>
      </c>
      <c r="P117" s="376">
        <v>43745</v>
      </c>
      <c r="Q117" s="457">
        <f>IF(ISBLANK(CkReg16_181517[[#This Row],[Withdrawal]]),Q116+CkReg16_181517[[#This Row],[Deposit]],Q116-CkReg16_181517[[#This Row],[Withdrawal]])</f>
        <v>14997.287999999999</v>
      </c>
      <c r="R117" s="376"/>
    </row>
    <row r="118" spans="2:20" s="430" customFormat="1" x14ac:dyDescent="0.3">
      <c r="B118" s="96"/>
      <c r="C118" s="96"/>
      <c r="D118" s="96"/>
      <c r="E118" s="96"/>
      <c r="F118" s="96"/>
      <c r="G118" s="96"/>
      <c r="H118" s="285"/>
      <c r="I118" s="383">
        <v>43745</v>
      </c>
      <c r="J118" s="285"/>
      <c r="K118" s="285" t="s">
        <v>894</v>
      </c>
      <c r="L118" s="285" t="s">
        <v>44</v>
      </c>
      <c r="M118" s="446"/>
      <c r="N118" s="451">
        <v>-9.9</v>
      </c>
      <c r="O118" s="451">
        <f>IF(ISBLANK(CkReg16_181517[[#This Row],[Withdrawal]]),O117+CkReg16_181517[[#This Row],[Deposit]],O117-CkReg16_181517[[#This Row],[Withdrawal]])</f>
        <v>6272.3879999999908</v>
      </c>
      <c r="P118" s="376">
        <v>43745</v>
      </c>
      <c r="Q118" s="457">
        <f>IF(ISBLANK(CkReg16_181517[[#This Row],[Withdrawal]]),Q117+CkReg16_181517[[#This Row],[Deposit]],Q117-CkReg16_181517[[#This Row],[Withdrawal]])</f>
        <v>14987.387999999999</v>
      </c>
      <c r="R118" s="383"/>
      <c r="S118" s="466"/>
      <c r="T118" s="466"/>
    </row>
    <row r="119" spans="2:20" x14ac:dyDescent="0.3">
      <c r="H119" s="285"/>
      <c r="I119" s="383">
        <v>43762</v>
      </c>
      <c r="J119" s="285"/>
      <c r="K119" s="285" t="s">
        <v>895</v>
      </c>
      <c r="L119" s="285" t="s">
        <v>60</v>
      </c>
      <c r="M119" s="446"/>
      <c r="N119" s="451">
        <v>77.05</v>
      </c>
      <c r="O119" s="451">
        <f>IF(ISBLANK(CkReg16_181517[[#This Row],[Withdrawal]]),O118+CkReg16_181517[[#This Row],[Deposit]],O118-CkReg16_181517[[#This Row],[Withdrawal]])</f>
        <v>6349.437999999991</v>
      </c>
      <c r="P119" s="376">
        <v>43762</v>
      </c>
      <c r="Q119" s="457">
        <f>IF(ISBLANK(CkReg16_181517[[#This Row],[Withdrawal]]),Q118+CkReg16_181517[[#This Row],[Deposit]],Q118-CkReg16_181517[[#This Row],[Withdrawal]])</f>
        <v>15064.437999999998</v>
      </c>
      <c r="R119" s="383"/>
    </row>
    <row r="120" spans="2:20" x14ac:dyDescent="0.3">
      <c r="H120" s="286"/>
      <c r="I120" s="383">
        <v>43764</v>
      </c>
      <c r="J120" s="285"/>
      <c r="K120" s="285" t="s">
        <v>897</v>
      </c>
      <c r="L120" s="285" t="s">
        <v>33</v>
      </c>
      <c r="M120" s="446"/>
      <c r="N120" s="451">
        <v>291.14999999999998</v>
      </c>
      <c r="O120" s="451">
        <f>IF(ISBLANK(CkReg16_181517[[#This Row],[Withdrawal]]),O119+CkReg16_181517[[#This Row],[Deposit]],O119-CkReg16_181517[[#This Row],[Withdrawal]])</f>
        <v>6640.5879999999906</v>
      </c>
      <c r="P120" s="376">
        <v>43766</v>
      </c>
      <c r="Q120" s="457">
        <f>IF(ISBLANK(CkReg16_181517[[#This Row],[Withdrawal]]),Q119+CkReg16_181517[[#This Row],[Deposit]],Q119-CkReg16_181517[[#This Row],[Withdrawal]])</f>
        <v>15355.587999999998</v>
      </c>
      <c r="R120" s="431"/>
    </row>
    <row r="121" spans="2:20" x14ac:dyDescent="0.3">
      <c r="H121" s="286"/>
      <c r="I121" s="383">
        <v>43764</v>
      </c>
      <c r="J121" s="285"/>
      <c r="K121" s="285" t="s">
        <v>896</v>
      </c>
      <c r="L121" s="285" t="s">
        <v>33</v>
      </c>
      <c r="M121" s="446"/>
      <c r="N121" s="451">
        <v>213.06</v>
      </c>
      <c r="O121" s="451">
        <f>IF(ISBLANK(CkReg16_181517[[#This Row],[Withdrawal]]),O120+CkReg16_181517[[#This Row],[Deposit]],O120-CkReg16_181517[[#This Row],[Withdrawal]])</f>
        <v>6853.647999999991</v>
      </c>
      <c r="P121" s="376">
        <v>43766</v>
      </c>
      <c r="Q121" s="457">
        <f>IF(ISBLANK(CkReg16_181517[[#This Row],[Withdrawal]]),Q120+CkReg16_181517[[#This Row],[Deposit]],Q120-CkReg16_181517[[#This Row],[Withdrawal]])</f>
        <v>15568.647999999997</v>
      </c>
      <c r="R121" s="383"/>
    </row>
    <row r="122" spans="2:20" x14ac:dyDescent="0.3">
      <c r="H122" s="285"/>
      <c r="I122" s="383">
        <v>43753</v>
      </c>
      <c r="J122" s="285"/>
      <c r="K122" s="285" t="s">
        <v>901</v>
      </c>
      <c r="L122" s="285" t="s">
        <v>70</v>
      </c>
      <c r="M122" s="446">
        <v>14</v>
      </c>
      <c r="N122" s="451"/>
      <c r="O122" s="451">
        <f>IF(ISBLANK(CkReg16_181517[[#This Row],[Withdrawal]]),O121+CkReg16_181517[[#This Row],[Deposit]],O121-CkReg16_181517[[#This Row],[Withdrawal]])</f>
        <v>6839.647999999991</v>
      </c>
      <c r="P122" s="376">
        <v>43753</v>
      </c>
      <c r="Q122" s="457">
        <f>IF(ISBLANK(CkReg16_181517[[#This Row],[Withdrawal]]),Q121+CkReg16_181517[[#This Row],[Deposit]],Q121-CkReg16_181517[[#This Row],[Withdrawal]])</f>
        <v>15554.647999999997</v>
      </c>
      <c r="R122" s="383"/>
    </row>
    <row r="123" spans="2:20" x14ac:dyDescent="0.3">
      <c r="H123" s="285">
        <v>3385</v>
      </c>
      <c r="I123" s="383">
        <v>43743</v>
      </c>
      <c r="J123" s="285" t="s">
        <v>898</v>
      </c>
      <c r="K123" s="285" t="s">
        <v>899</v>
      </c>
      <c r="L123" s="285" t="s">
        <v>34</v>
      </c>
      <c r="M123" s="446">
        <v>50</v>
      </c>
      <c r="N123" s="451"/>
      <c r="O123" s="451">
        <f>IF(ISBLANK(CkReg16_181517[[#This Row],[Withdrawal]]),O122+CkReg16_181517[[#This Row],[Deposit]],O122-CkReg16_181517[[#This Row],[Withdrawal]])</f>
        <v>6789.647999999991</v>
      </c>
      <c r="P123" s="376">
        <v>43774</v>
      </c>
      <c r="Q123" s="457">
        <f>IF(ISBLANK(CkReg16_181517[[#This Row],[Withdrawal]]),Q122+CkReg16_181517[[#This Row],[Deposit]],Q122-CkReg16_181517[[#This Row],[Withdrawal]])</f>
        <v>15504.647999999997</v>
      </c>
      <c r="R123" s="383"/>
    </row>
    <row r="124" spans="2:20" x14ac:dyDescent="0.3">
      <c r="H124" s="285">
        <v>3386</v>
      </c>
      <c r="I124" s="383">
        <v>43743</v>
      </c>
      <c r="J124" s="285" t="s">
        <v>782</v>
      </c>
      <c r="K124" s="285" t="s">
        <v>900</v>
      </c>
      <c r="L124" s="285" t="s">
        <v>34</v>
      </c>
      <c r="M124" s="446">
        <v>200</v>
      </c>
      <c r="N124" s="451"/>
      <c r="O124" s="451">
        <f>IF(ISBLANK(CkReg16_181517[[#This Row],[Withdrawal]]),O123+CkReg16_181517[[#This Row],[Deposit]],O123-CkReg16_181517[[#This Row],[Withdrawal]])</f>
        <v>6589.647999999991</v>
      </c>
      <c r="P124" s="376">
        <v>43745</v>
      </c>
      <c r="Q124" s="457">
        <f>IF(ISBLANK(CkReg16_181517[[#This Row],[Withdrawal]]),Q123+CkReg16_181517[[#This Row],[Deposit]],Q123-CkReg16_181517[[#This Row],[Withdrawal]])</f>
        <v>15304.647999999997</v>
      </c>
      <c r="R124" s="383"/>
    </row>
    <row r="125" spans="2:20" x14ac:dyDescent="0.3">
      <c r="H125" s="285"/>
      <c r="I125" s="383">
        <v>43769</v>
      </c>
      <c r="J125" s="285"/>
      <c r="K125" s="285"/>
      <c r="L125" s="285" t="s">
        <v>91</v>
      </c>
      <c r="M125" s="446">
        <v>-0.65</v>
      </c>
      <c r="N125" s="451"/>
      <c r="O125" s="451">
        <f>IF(ISBLANK(CkReg16_181517[[#This Row],[Withdrawal]]),O124+CkReg16_181517[[#This Row],[Deposit]],O124-CkReg16_181517[[#This Row],[Withdrawal]])</f>
        <v>6590.2979999999907</v>
      </c>
      <c r="P125" s="376">
        <v>43769</v>
      </c>
      <c r="Q125" s="457">
        <f>IF(ISBLANK(CkReg16_181517[[#This Row],[Withdrawal]]),Q124+CkReg16_181517[[#This Row],[Deposit]],Q124-CkReg16_181517[[#This Row],[Withdrawal]])</f>
        <v>15305.297999999997</v>
      </c>
      <c r="R125" s="383">
        <v>43769</v>
      </c>
    </row>
    <row r="126" spans="2:20" x14ac:dyDescent="0.3">
      <c r="H126" s="285">
        <v>3387</v>
      </c>
      <c r="I126" s="383">
        <v>43779</v>
      </c>
      <c r="J126" s="285" t="s">
        <v>902</v>
      </c>
      <c r="K126" s="285" t="s">
        <v>903</v>
      </c>
      <c r="L126" s="285" t="s">
        <v>46</v>
      </c>
      <c r="M126" s="446">
        <v>1032</v>
      </c>
      <c r="N126" s="451"/>
      <c r="O126" s="451">
        <f>IF(ISBLANK(CkReg16_181517[[#This Row],[Withdrawal]]),O125+CkReg16_181517[[#This Row],[Deposit]],O125-CkReg16_181517[[#This Row],[Withdrawal]])</f>
        <v>5558.2979999999907</v>
      </c>
      <c r="P126" s="376">
        <v>43781</v>
      </c>
      <c r="Q126" s="457">
        <f>IF(ISBLANK(CkReg16_181517[[#This Row],[Withdrawal]]),Q125+CkReg16_181517[[#This Row],[Deposit]],Q125-CkReg16_181517[[#This Row],[Withdrawal]])</f>
        <v>14273.297999999997</v>
      </c>
      <c r="R126" s="383"/>
    </row>
    <row r="127" spans="2:20" x14ac:dyDescent="0.3">
      <c r="H127" s="285"/>
      <c r="I127" s="383">
        <v>43799</v>
      </c>
      <c r="J127" s="285"/>
      <c r="K127" s="285"/>
      <c r="L127" s="285" t="s">
        <v>91</v>
      </c>
      <c r="M127" s="446">
        <v>-0.6</v>
      </c>
      <c r="N127" s="451"/>
      <c r="O127" s="451">
        <f>IF(ISBLANK(CkReg16_181517[[#This Row],[Withdrawal]]),O126+CkReg16_181517[[#This Row],[Deposit]],O126-CkReg16_181517[[#This Row],[Withdrawal]])</f>
        <v>5558.897999999991</v>
      </c>
      <c r="P127" s="376">
        <v>43799</v>
      </c>
      <c r="Q127" s="457">
        <f>IF(ISBLANK(CkReg16_181517[[#This Row],[Withdrawal]]),Q126+CkReg16_181517[[#This Row],[Deposit]],Q126-CkReg16_181517[[#This Row],[Withdrawal]])</f>
        <v>14273.897999999997</v>
      </c>
      <c r="R127" s="383">
        <v>43799</v>
      </c>
    </row>
    <row r="128" spans="2:20" x14ac:dyDescent="0.3">
      <c r="H128" s="285">
        <v>3388</v>
      </c>
      <c r="I128" s="383">
        <v>43806</v>
      </c>
      <c r="J128" s="285" t="s">
        <v>288</v>
      </c>
      <c r="K128" s="285" t="s">
        <v>904</v>
      </c>
      <c r="L128" s="285" t="s">
        <v>66</v>
      </c>
      <c r="M128" s="446">
        <v>45</v>
      </c>
      <c r="N128" s="451"/>
      <c r="O128" s="451">
        <f>IF(ISBLANK(CkReg16_181517[[#This Row],[Withdrawal]]),O127+CkReg16_181517[[#This Row],[Deposit]],O127-CkReg16_181517[[#This Row],[Withdrawal]])</f>
        <v>5513.897999999991</v>
      </c>
      <c r="P128" s="376">
        <v>43812</v>
      </c>
      <c r="Q128" s="457">
        <f>IF(ISBLANK(CkReg16_181517[[#This Row],[Withdrawal]]),Q127+CkReg16_181517[[#This Row],[Deposit]],Q127-CkReg16_181517[[#This Row],[Withdrawal]])</f>
        <v>14228.897999999997</v>
      </c>
      <c r="R128" s="376"/>
    </row>
    <row r="129" spans="8:18" x14ac:dyDescent="0.3">
      <c r="H129" s="285">
        <v>3389</v>
      </c>
      <c r="I129" s="383">
        <v>43806</v>
      </c>
      <c r="J129" s="285" t="s">
        <v>93</v>
      </c>
      <c r="K129" s="285" t="s">
        <v>39</v>
      </c>
      <c r="L129" s="285" t="s">
        <v>39</v>
      </c>
      <c r="M129" s="446">
        <v>57.25</v>
      </c>
      <c r="N129" s="451"/>
      <c r="O129" s="451">
        <f>IF(ISBLANK(CkReg16_181517[[#This Row],[Withdrawal]]),O128+CkReg16_181517[[#This Row],[Deposit]],O128-CkReg16_181517[[#This Row],[Withdrawal]])</f>
        <v>5456.647999999991</v>
      </c>
      <c r="P129" s="376">
        <v>43811</v>
      </c>
      <c r="Q129" s="457">
        <f>IF(ISBLANK(CkReg16_181517[[#This Row],[Withdrawal]]),Q128+CkReg16_181517[[#This Row],[Deposit]],Q128-CkReg16_181517[[#This Row],[Withdrawal]])</f>
        <v>14171.647999999997</v>
      </c>
      <c r="R129" s="376"/>
    </row>
    <row r="130" spans="8:18" x14ac:dyDescent="0.3">
      <c r="H130" s="285">
        <v>3390</v>
      </c>
      <c r="I130" s="383">
        <v>43806</v>
      </c>
      <c r="J130" s="285" t="s">
        <v>84</v>
      </c>
      <c r="K130" s="285" t="s">
        <v>840</v>
      </c>
      <c r="L130" s="285" t="s">
        <v>51</v>
      </c>
      <c r="M130" s="446">
        <v>80</v>
      </c>
      <c r="N130" s="451"/>
      <c r="O130" s="451">
        <f>IF(ISBLANK(CkReg16_181517[[#This Row],[Withdrawal]]),O129+CkReg16_181517[[#This Row],[Deposit]],O129-CkReg16_181517[[#This Row],[Withdrawal]])</f>
        <v>5376.647999999991</v>
      </c>
      <c r="P130" s="376">
        <v>43810</v>
      </c>
      <c r="Q130" s="457">
        <f>IF(ISBLANK(CkReg16_181517[[#This Row],[Withdrawal]]),Q129+CkReg16_181517[[#This Row],[Deposit]],Q129-CkReg16_181517[[#This Row],[Withdrawal]])</f>
        <v>14091.647999999997</v>
      </c>
      <c r="R130" s="376"/>
    </row>
    <row r="131" spans="8:18" x14ac:dyDescent="0.3">
      <c r="H131" s="286">
        <v>3391</v>
      </c>
      <c r="I131" s="383">
        <v>43806</v>
      </c>
      <c r="J131" s="285" t="s">
        <v>829</v>
      </c>
      <c r="K131" s="285" t="s">
        <v>905</v>
      </c>
      <c r="L131" s="285" t="s">
        <v>52</v>
      </c>
      <c r="M131" s="446">
        <v>25</v>
      </c>
      <c r="N131" s="451"/>
      <c r="O131" s="451">
        <f>IF(ISBLANK(CkReg16_181517[[#This Row],[Withdrawal]]),O130+CkReg16_181517[[#This Row],[Deposit]],O130-CkReg16_181517[[#This Row],[Withdrawal]])</f>
        <v>5351.647999999991</v>
      </c>
      <c r="P131" s="376">
        <v>43810</v>
      </c>
      <c r="Q131" s="457">
        <f>IF(ISBLANK(CkReg16_181517[[#This Row],[Withdrawal]]),Q130+CkReg16_181517[[#This Row],[Deposit]],Q130-CkReg16_181517[[#This Row],[Withdrawal]])</f>
        <v>14066.647999999997</v>
      </c>
      <c r="R131" s="376"/>
    </row>
    <row r="132" spans="8:18" x14ac:dyDescent="0.3">
      <c r="H132" s="286">
        <v>3392</v>
      </c>
      <c r="I132" s="383">
        <v>43806</v>
      </c>
      <c r="J132" s="285" t="s">
        <v>782</v>
      </c>
      <c r="K132" s="285" t="s">
        <v>906</v>
      </c>
      <c r="L132" s="285" t="s">
        <v>53</v>
      </c>
      <c r="M132" s="446">
        <v>24</v>
      </c>
      <c r="N132" s="451"/>
      <c r="O132" s="451">
        <f>IF(ISBLANK(CkReg16_181517[[#This Row],[Withdrawal]]),O131+CkReg16_181517[[#This Row],[Deposit]],O131-CkReg16_181517[[#This Row],[Withdrawal]])</f>
        <v>5327.647999999991</v>
      </c>
      <c r="P132" s="376">
        <v>43808</v>
      </c>
      <c r="Q132" s="457">
        <f>IF(ISBLANK(CkReg16_181517[[#This Row],[Withdrawal]]),Q131+CkReg16_181517[[#This Row],[Deposit]],Q131-CkReg16_181517[[#This Row],[Withdrawal]])</f>
        <v>14042.647999999997</v>
      </c>
      <c r="R132" s="376"/>
    </row>
    <row r="133" spans="8:18" x14ac:dyDescent="0.3">
      <c r="H133" s="286">
        <v>3392</v>
      </c>
      <c r="I133" s="383">
        <v>43806</v>
      </c>
      <c r="J133" s="285" t="s">
        <v>782</v>
      </c>
      <c r="K133" s="285" t="s">
        <v>816</v>
      </c>
      <c r="L133" s="285" t="s">
        <v>47</v>
      </c>
      <c r="M133" s="446">
        <v>22.15</v>
      </c>
      <c r="N133" s="451"/>
      <c r="O133" s="451">
        <f>IF(ISBLANK(CkReg16_181517[[#This Row],[Withdrawal]]),O132+CkReg16_181517[[#This Row],[Deposit]],O132-CkReg16_181517[[#This Row],[Withdrawal]])</f>
        <v>5305.4979999999914</v>
      </c>
      <c r="P133" s="376">
        <v>43808</v>
      </c>
      <c r="Q133" s="457">
        <f>IF(ISBLANK(CkReg16_181517[[#This Row],[Withdrawal]]),Q132+CkReg16_181517[[#This Row],[Deposit]],Q132-CkReg16_181517[[#This Row],[Withdrawal]])</f>
        <v>14020.497999999998</v>
      </c>
      <c r="R133" s="376"/>
    </row>
    <row r="134" spans="8:18" x14ac:dyDescent="0.3">
      <c r="H134" s="286">
        <v>3395</v>
      </c>
      <c r="I134" s="383">
        <v>43806</v>
      </c>
      <c r="J134" s="285" t="s">
        <v>796</v>
      </c>
      <c r="K134" s="285" t="s">
        <v>738</v>
      </c>
      <c r="L134" s="285" t="s">
        <v>43</v>
      </c>
      <c r="M134" s="446">
        <v>75</v>
      </c>
      <c r="N134" s="451"/>
      <c r="O134" s="451">
        <f>IF(ISBLANK(CkReg16_181517[[#This Row],[Withdrawal]]),O133+CkReg16_181517[[#This Row],[Deposit]],O133-CkReg16_181517[[#This Row],[Withdrawal]])</f>
        <v>5230.4979999999914</v>
      </c>
      <c r="P134" s="376">
        <v>43822</v>
      </c>
      <c r="Q134" s="457">
        <f>IF(ISBLANK(CkReg16_181517[[#This Row],[Withdrawal]]),Q133+CkReg16_181517[[#This Row],[Deposit]],Q133-CkReg16_181517[[#This Row],[Withdrawal]])</f>
        <v>13945.497999999998</v>
      </c>
      <c r="R134" s="376"/>
    </row>
    <row r="135" spans="8:18" x14ac:dyDescent="0.3">
      <c r="H135" s="286">
        <v>3396</v>
      </c>
      <c r="I135" s="383">
        <v>43808</v>
      </c>
      <c r="J135" s="285" t="s">
        <v>898</v>
      </c>
      <c r="K135" s="285" t="s">
        <v>925</v>
      </c>
      <c r="L135" s="285" t="s">
        <v>34</v>
      </c>
      <c r="M135" s="446">
        <v>100</v>
      </c>
      <c r="N135" s="451"/>
      <c r="O135" s="451">
        <f>IF(ISBLANK(CkReg16_181517[[#This Row],[Withdrawal]]),O134+CkReg16_181517[[#This Row],[Deposit]],O134-CkReg16_181517[[#This Row],[Withdrawal]])</f>
        <v>5130.4979999999914</v>
      </c>
      <c r="P135" s="376">
        <v>43830</v>
      </c>
      <c r="Q135" s="457">
        <f>IF(ISBLANK(CkReg16_181517[[#This Row],[Withdrawal]]),Q134+CkReg16_181517[[#This Row],[Deposit]],Q134-CkReg16_181517[[#This Row],[Withdrawal]])</f>
        <v>13845.497999999998</v>
      </c>
      <c r="R135" s="376" t="s">
        <v>926</v>
      </c>
    </row>
    <row r="136" spans="8:18" x14ac:dyDescent="0.3">
      <c r="H136" s="286">
        <v>3397</v>
      </c>
      <c r="I136" s="383">
        <v>43808</v>
      </c>
      <c r="J136" s="285" t="s">
        <v>898</v>
      </c>
      <c r="K136" s="285" t="s">
        <v>911</v>
      </c>
      <c r="L136" s="285" t="s">
        <v>34</v>
      </c>
      <c r="M136" s="446">
        <v>50</v>
      </c>
      <c r="N136" s="451"/>
      <c r="O136" s="451">
        <f>IF(ISBLANK(CkReg16_181517[[#This Row],[Withdrawal]]),O135+CkReg16_181517[[#This Row],[Deposit]],O135-CkReg16_181517[[#This Row],[Withdrawal]])</f>
        <v>5080.4979999999914</v>
      </c>
      <c r="P136" s="376">
        <v>43822</v>
      </c>
      <c r="Q136" s="457">
        <f>IF(ISBLANK(CkReg16_181517[[#This Row],[Withdrawal]]),Q135+CkReg16_181517[[#This Row],[Deposit]],Q135-CkReg16_181517[[#This Row],[Withdrawal]])</f>
        <v>13795.497999999998</v>
      </c>
      <c r="R136" s="376"/>
    </row>
    <row r="137" spans="8:18" x14ac:dyDescent="0.3">
      <c r="H137" s="286">
        <v>3398</v>
      </c>
      <c r="I137" s="383">
        <v>43808</v>
      </c>
      <c r="J137" s="285" t="s">
        <v>912</v>
      </c>
      <c r="K137" s="285" t="s">
        <v>913</v>
      </c>
      <c r="L137" s="285" t="s">
        <v>34</v>
      </c>
      <c r="M137" s="446">
        <v>450</v>
      </c>
      <c r="N137" s="451"/>
      <c r="O137" s="451">
        <f>IF(ISBLANK(CkReg16_181517[[#This Row],[Withdrawal]]),O136+CkReg16_181517[[#This Row],[Deposit]],O136-CkReg16_181517[[#This Row],[Withdrawal]])</f>
        <v>4630.4979999999914</v>
      </c>
      <c r="P137" s="376">
        <v>43815</v>
      </c>
      <c r="Q137" s="457">
        <f>IF(ISBLANK(CkReg16_181517[[#This Row],[Withdrawal]]),Q136+CkReg16_181517[[#This Row],[Deposit]],Q136-CkReg16_181517[[#This Row],[Withdrawal]])</f>
        <v>13345.497999999998</v>
      </c>
      <c r="R137" s="376"/>
    </row>
    <row r="138" spans="8:18" x14ac:dyDescent="0.3">
      <c r="H138" s="286"/>
      <c r="I138" s="383">
        <v>43806</v>
      </c>
      <c r="J138" s="285"/>
      <c r="K138" s="285" t="s">
        <v>883</v>
      </c>
      <c r="L138" s="285" t="s">
        <v>703</v>
      </c>
      <c r="M138" s="446"/>
      <c r="N138" s="451">
        <v>38.32</v>
      </c>
      <c r="O138" s="451">
        <f>IF(ISBLANK(CkReg16_181517[[#This Row],[Withdrawal]]),O137+CkReg16_181517[[#This Row],[Deposit]],O137-CkReg16_181517[[#This Row],[Withdrawal]])</f>
        <v>4668.8179999999911</v>
      </c>
      <c r="P138" s="376">
        <v>43808</v>
      </c>
      <c r="Q138" s="457">
        <f>IF(ISBLANK(CkReg16_181517[[#This Row],[Withdrawal]]),Q137+CkReg16_181517[[#This Row],[Deposit]],Q137-CkReg16_181517[[#This Row],[Withdrawal]])</f>
        <v>13383.817999999997</v>
      </c>
      <c r="R138" s="376"/>
    </row>
    <row r="139" spans="8:18" x14ac:dyDescent="0.3">
      <c r="H139" s="286"/>
      <c r="I139" s="383">
        <v>43806</v>
      </c>
      <c r="J139" s="285"/>
      <c r="K139" s="285" t="s">
        <v>914</v>
      </c>
      <c r="L139" s="285" t="s">
        <v>33</v>
      </c>
      <c r="M139" s="446"/>
      <c r="N139" s="451">
        <v>33.729999999999997</v>
      </c>
      <c r="O139" s="451">
        <f>IF(ISBLANK(CkReg16_181517[[#This Row],[Withdrawal]]),O138+CkReg16_181517[[#This Row],[Deposit]],O138-CkReg16_181517[[#This Row],[Withdrawal]])</f>
        <v>4702.5479999999907</v>
      </c>
      <c r="P139" s="376">
        <v>43808</v>
      </c>
      <c r="Q139" s="457">
        <f>IF(ISBLANK(CkReg16_181517[[#This Row],[Withdrawal]]),Q138+CkReg16_181517[[#This Row],[Deposit]],Q138-CkReg16_181517[[#This Row],[Withdrawal]])</f>
        <v>13417.547999999997</v>
      </c>
      <c r="R139" s="376"/>
    </row>
    <row r="140" spans="8:18" x14ac:dyDescent="0.3">
      <c r="H140" s="286"/>
      <c r="I140" s="383">
        <v>43806</v>
      </c>
      <c r="J140" s="285"/>
      <c r="K140" s="285" t="s">
        <v>32</v>
      </c>
      <c r="L140" s="285" t="s">
        <v>32</v>
      </c>
      <c r="M140" s="446"/>
      <c r="N140" s="451">
        <v>155</v>
      </c>
      <c r="O140" s="451">
        <f>IF(ISBLANK(CkReg16_181517[[#This Row],[Withdrawal]]),O139+CkReg16_181517[[#This Row],[Deposit]],O139-CkReg16_181517[[#This Row],[Withdrawal]])</f>
        <v>4857.5479999999907</v>
      </c>
      <c r="P140" s="376">
        <v>43808</v>
      </c>
      <c r="Q140" s="457">
        <f>IF(ISBLANK(CkReg16_181517[[#This Row],[Withdrawal]]),Q139+CkReg16_181517[[#This Row],[Deposit]],Q139-CkReg16_181517[[#This Row],[Withdrawal]])</f>
        <v>13572.547999999997</v>
      </c>
      <c r="R140" s="376"/>
    </row>
    <row r="141" spans="8:18" x14ac:dyDescent="0.3">
      <c r="H141" s="286"/>
      <c r="I141" s="383">
        <v>43808</v>
      </c>
      <c r="J141" s="285"/>
      <c r="K141" s="285" t="s">
        <v>915</v>
      </c>
      <c r="L141" s="285" t="s">
        <v>32</v>
      </c>
      <c r="M141" s="446"/>
      <c r="N141" s="451">
        <v>50</v>
      </c>
      <c r="O141" s="451">
        <f>IF(ISBLANK(CkReg16_181517[[#This Row],[Withdrawal]]),O140+CkReg16_181517[[#This Row],[Deposit]],O140-CkReg16_181517[[#This Row],[Withdrawal]])</f>
        <v>4907.5479999999907</v>
      </c>
      <c r="P141" s="376">
        <v>43811</v>
      </c>
      <c r="Q141" s="457">
        <f>IF(ISBLANK(CkReg16_181517[[#This Row],[Withdrawal]]),Q140+CkReg16_181517[[#This Row],[Deposit]],Q140-CkReg16_181517[[#This Row],[Withdrawal]])</f>
        <v>13622.547999999997</v>
      </c>
      <c r="R141" s="376"/>
    </row>
    <row r="142" spans="8:18" x14ac:dyDescent="0.3">
      <c r="H142" s="286"/>
      <c r="I142" s="383">
        <v>43811</v>
      </c>
      <c r="J142" s="285"/>
      <c r="K142" s="285" t="s">
        <v>907</v>
      </c>
      <c r="L142" s="285" t="s">
        <v>389</v>
      </c>
      <c r="M142" s="446"/>
      <c r="N142" s="451">
        <v>1.07</v>
      </c>
      <c r="O142" s="451">
        <f>IF(ISBLANK(CkReg16_181517[[#This Row],[Withdrawal]]),O141+CkReg16_181517[[#This Row],[Deposit]],O141-CkReg16_181517[[#This Row],[Withdrawal]])</f>
        <v>4908.6179999999904</v>
      </c>
      <c r="P142" s="376">
        <v>43812</v>
      </c>
      <c r="Q142" s="457">
        <f>IF(ISBLANK(CkReg16_181517[[#This Row],[Withdrawal]]),Q141+CkReg16_181517[[#This Row],[Deposit]],Q141-CkReg16_181517[[#This Row],[Withdrawal]])</f>
        <v>13623.617999999997</v>
      </c>
      <c r="R142" s="376"/>
    </row>
    <row r="143" spans="8:18" x14ac:dyDescent="0.3">
      <c r="H143" s="286"/>
      <c r="I143" s="383">
        <v>43811</v>
      </c>
      <c r="J143" s="285"/>
      <c r="K143" s="285" t="s">
        <v>908</v>
      </c>
      <c r="L143" s="285" t="s">
        <v>389</v>
      </c>
      <c r="M143" s="446"/>
      <c r="N143" s="451">
        <v>125</v>
      </c>
      <c r="O143" s="451">
        <f>IF(ISBLANK(CkReg16_181517[[#This Row],[Withdrawal]]),O142+CkReg16_181517[[#This Row],[Deposit]],O142-CkReg16_181517[[#This Row],[Withdrawal]])</f>
        <v>5033.6179999999904</v>
      </c>
      <c r="P143" s="376">
        <v>43812</v>
      </c>
      <c r="Q143" s="457">
        <f>IF(ISBLANK(CkReg16_181517[[#This Row],[Withdrawal]]),Q142+CkReg16_181517[[#This Row],[Deposit]],Q142-CkReg16_181517[[#This Row],[Withdrawal]])</f>
        <v>13748.617999999997</v>
      </c>
      <c r="R143" s="376"/>
    </row>
    <row r="144" spans="8:18" x14ac:dyDescent="0.3">
      <c r="H144" s="286"/>
      <c r="I144" s="383">
        <v>43816</v>
      </c>
      <c r="J144" s="285"/>
      <c r="K144" s="285" t="s">
        <v>916</v>
      </c>
      <c r="L144" s="285" t="s">
        <v>53</v>
      </c>
      <c r="M144" s="446">
        <v>87.24</v>
      </c>
      <c r="N144" s="451"/>
      <c r="O144" s="451">
        <f>IF(ISBLANK(CkReg16_181517[[#This Row],[Withdrawal]]),O143+CkReg16_181517[[#This Row],[Deposit]],O143-CkReg16_181517[[#This Row],[Withdrawal]])</f>
        <v>4946.3779999999906</v>
      </c>
      <c r="P144" s="376">
        <v>43812</v>
      </c>
      <c r="Q144" s="457">
        <f>IF(ISBLANK(CkReg16_181517[[#This Row],[Withdrawal]]),Q143+CkReg16_181517[[#This Row],[Deposit]],Q143-CkReg16_181517[[#This Row],[Withdrawal]])</f>
        <v>13661.377999999997</v>
      </c>
      <c r="R144" s="376" t="s">
        <v>926</v>
      </c>
    </row>
    <row r="145" spans="8:18" x14ac:dyDescent="0.3">
      <c r="H145" s="286">
        <v>3393</v>
      </c>
      <c r="I145" s="383">
        <v>43806</v>
      </c>
      <c r="J145" s="285" t="s">
        <v>80</v>
      </c>
      <c r="K145" s="285" t="s">
        <v>921</v>
      </c>
      <c r="L145" s="285" t="s">
        <v>58</v>
      </c>
      <c r="M145" s="446">
        <v>460.98</v>
      </c>
      <c r="N145" s="455"/>
      <c r="O145" s="451">
        <f>IF(ISBLANK(CkReg16_181517[[#This Row],[Withdrawal]]),O144+CkReg16_181517[[#This Row],[Deposit]],O144-CkReg16_181517[[#This Row],[Withdrawal]])</f>
        <v>4485.3979999999901</v>
      </c>
      <c r="P145" s="376">
        <v>43830</v>
      </c>
      <c r="Q145" s="457">
        <f>IF(ISBLANK(CkReg16_181517[[#This Row],[Withdrawal]]),Q144+CkReg16_181517[[#This Row],[Deposit]],Q144-CkReg16_181517[[#This Row],[Withdrawal]])</f>
        <v>13200.397999999997</v>
      </c>
      <c r="R145" s="376" t="s">
        <v>926</v>
      </c>
    </row>
    <row r="146" spans="8:18" x14ac:dyDescent="0.3">
      <c r="H146" s="286">
        <v>3394</v>
      </c>
      <c r="I146" s="383">
        <v>43806</v>
      </c>
      <c r="J146" s="285" t="s">
        <v>79</v>
      </c>
      <c r="K146" s="285" t="s">
        <v>922</v>
      </c>
      <c r="L146" s="285" t="s">
        <v>59</v>
      </c>
      <c r="M146" s="448">
        <v>300</v>
      </c>
      <c r="N146" s="451"/>
      <c r="O146" s="451">
        <f>IF(ISBLANK(CkReg16_181517[[#This Row],[Withdrawal]]),O145+CkReg16_181517[[#This Row],[Deposit]],O145-CkReg16_181517[[#This Row],[Withdrawal]])</f>
        <v>4185.3979999999901</v>
      </c>
      <c r="P146" s="376">
        <v>43818</v>
      </c>
      <c r="Q146" s="457">
        <f>IF(ISBLANK(CkReg16_181517[[#This Row],[Withdrawal]]),Q145+CkReg16_181517[[#This Row],[Deposit]],Q145-CkReg16_181517[[#This Row],[Withdrawal]])</f>
        <v>12900.397999999997</v>
      </c>
      <c r="R146" s="376" t="s">
        <v>926</v>
      </c>
    </row>
    <row r="147" spans="8:18" x14ac:dyDescent="0.3">
      <c r="H147" s="286"/>
      <c r="I147" s="383">
        <v>43830</v>
      </c>
      <c r="J147" s="285"/>
      <c r="K147" s="285"/>
      <c r="L147" s="285" t="s">
        <v>91</v>
      </c>
      <c r="M147" s="446">
        <v>-0.59</v>
      </c>
      <c r="N147" s="451"/>
      <c r="O147" s="451">
        <f>IF(ISBLANK(CkReg16_181517[[#This Row],[Withdrawal]]),O146+CkReg16_181517[[#This Row],[Deposit]],O146-CkReg16_181517[[#This Row],[Withdrawal]])</f>
        <v>4185.9879999999903</v>
      </c>
      <c r="P147" s="376">
        <v>43830</v>
      </c>
      <c r="Q147" s="457">
        <f>IF(ISBLANK(CkReg16_181517[[#This Row],[Withdrawal]]),Q146+CkReg16_181517[[#This Row],[Deposit]],Q146-CkReg16_181517[[#This Row],[Withdrawal]])</f>
        <v>12900.987999999998</v>
      </c>
      <c r="R147" s="376">
        <v>43830</v>
      </c>
    </row>
    <row r="148" spans="8:18" x14ac:dyDescent="0.3">
      <c r="H148" s="286">
        <v>3393</v>
      </c>
      <c r="I148" s="383">
        <v>43806</v>
      </c>
      <c r="J148" s="286" t="s">
        <v>80</v>
      </c>
      <c r="K148" s="285" t="s">
        <v>921</v>
      </c>
      <c r="L148" s="285" t="s">
        <v>58</v>
      </c>
      <c r="M148" s="446">
        <v>-460.98</v>
      </c>
      <c r="N148" s="451"/>
      <c r="O148" s="451">
        <f>IF(ISBLANK(CkReg16_181517[[#This Row],[Withdrawal]]),O147+CkReg16_181517[[#This Row],[Deposit]],O147-CkReg16_181517[[#This Row],[Withdrawal]])</f>
        <v>4646.9679999999898</v>
      </c>
      <c r="P148" s="376">
        <v>43830</v>
      </c>
      <c r="Q148" s="457">
        <f>IF(ISBLANK(CkReg16_181517[[#This Row],[Withdrawal]]),Q147+CkReg16_181517[[#This Row],[Deposit]],Q147-CkReg16_181517[[#This Row],[Withdrawal]])</f>
        <v>13361.967999999997</v>
      </c>
      <c r="R148" s="376" t="s">
        <v>926</v>
      </c>
    </row>
    <row r="149" spans="8:18" x14ac:dyDescent="0.3">
      <c r="H149" s="286">
        <v>3394</v>
      </c>
      <c r="I149" s="383">
        <v>43806</v>
      </c>
      <c r="J149" s="285" t="s">
        <v>79</v>
      </c>
      <c r="K149" s="285" t="s">
        <v>922</v>
      </c>
      <c r="L149" s="285" t="s">
        <v>59</v>
      </c>
      <c r="M149" s="446">
        <v>-300</v>
      </c>
      <c r="N149" s="451"/>
      <c r="O149" s="451">
        <f>IF(ISBLANK(CkReg16_181517[[#This Row],[Withdrawal]]),O148+CkReg16_181517[[#This Row],[Deposit]],O148-CkReg16_181517[[#This Row],[Withdrawal]])</f>
        <v>4946.9679999999898</v>
      </c>
      <c r="P149" s="376">
        <v>43830</v>
      </c>
      <c r="Q149" s="457">
        <f>IF(ISBLANK(CkReg16_181517[[#This Row],[Withdrawal]]),Q148+CkReg16_181517[[#This Row],[Deposit]],Q148-CkReg16_181517[[#This Row],[Withdrawal]])</f>
        <v>13661.967999999997</v>
      </c>
      <c r="R149" s="376" t="s">
        <v>926</v>
      </c>
    </row>
    <row r="150" spans="8:18" x14ac:dyDescent="0.3">
      <c r="H150" s="286">
        <v>3396</v>
      </c>
      <c r="I150" s="383">
        <v>43808</v>
      </c>
      <c r="J150" s="286" t="s">
        <v>898</v>
      </c>
      <c r="K150" s="285" t="s">
        <v>925</v>
      </c>
      <c r="L150" s="285" t="s">
        <v>34</v>
      </c>
      <c r="M150" s="446">
        <v>-100</v>
      </c>
      <c r="N150" s="451"/>
      <c r="O150" s="451">
        <f>IF(ISBLANK(CkReg16_181517[[#This Row],[Withdrawal]]),O149+CkReg16_181517[[#This Row],[Deposit]],O149-CkReg16_181517[[#This Row],[Withdrawal]])</f>
        <v>5046.9679999999898</v>
      </c>
      <c r="P150" s="376">
        <v>43830</v>
      </c>
      <c r="Q150" s="457">
        <f>IF(ISBLANK(CkReg16_181517[[#This Row],[Withdrawal]]),Q149+CkReg16_181517[[#This Row],[Deposit]],Q149-CkReg16_181517[[#This Row],[Withdrawal]])</f>
        <v>13761.967999999997</v>
      </c>
      <c r="R150" s="376" t="s">
        <v>926</v>
      </c>
    </row>
    <row r="151" spans="8:18" x14ac:dyDescent="0.3">
      <c r="H151" s="286"/>
      <c r="I151" s="383"/>
      <c r="J151" s="285"/>
      <c r="K151" s="285" t="s">
        <v>923</v>
      </c>
      <c r="L151" s="285"/>
      <c r="M151" s="446"/>
      <c r="N151" s="451"/>
      <c r="O151" s="451">
        <f>IF(ISBLANK(CkReg16_181517[[#This Row],[Withdrawal]]),O150+CkReg16_181517[[#This Row],[Deposit]],O150-CkReg16_181517[[#This Row],[Withdrawal]])</f>
        <v>5046.9679999999898</v>
      </c>
      <c r="P151" s="376"/>
      <c r="Q151" s="457">
        <f>IF(ISBLANK(CkReg16_181517[[#This Row],[Withdrawal]]),Q150+CkReg16_181517[[#This Row],[Deposit]],Q150-CkReg16_181517[[#This Row],[Withdrawal]])</f>
        <v>13761.967999999997</v>
      </c>
      <c r="R151" s="376"/>
    </row>
    <row r="152" spans="8:18" x14ac:dyDescent="0.3">
      <c r="H152" s="285">
        <v>3389</v>
      </c>
      <c r="I152" s="383">
        <v>43806</v>
      </c>
      <c r="J152" s="285" t="s">
        <v>93</v>
      </c>
      <c r="K152" s="285" t="s">
        <v>39</v>
      </c>
      <c r="L152" s="285" t="s">
        <v>39</v>
      </c>
      <c r="M152" s="446">
        <v>0.5</v>
      </c>
      <c r="N152" s="451"/>
      <c r="O152" s="451">
        <f>IF(ISBLANK(CkReg16_181517[[#This Row],[Withdrawal]]),O151+CkReg16_181517[[#This Row],[Deposit]],O151-CkReg16_181517[[#This Row],[Withdrawal]])</f>
        <v>5046.4679999999898</v>
      </c>
      <c r="P152" s="376">
        <v>43811</v>
      </c>
      <c r="Q152" s="457">
        <f>IF(ISBLANK(CkReg16_181517[[#This Row],[Withdrawal]]),Q151+CkReg16_181517[[#This Row],[Deposit]],Q151-CkReg16_181517[[#This Row],[Withdrawal]])</f>
        <v>13761.467999999997</v>
      </c>
      <c r="R152" s="376" t="s">
        <v>953</v>
      </c>
    </row>
    <row r="153" spans="8:18" x14ac:dyDescent="0.3">
      <c r="H153" s="286"/>
      <c r="I153" s="383"/>
      <c r="J153" s="285"/>
      <c r="K153" s="285"/>
      <c r="L153" s="285"/>
      <c r="M153" s="446"/>
      <c r="N153" s="451"/>
      <c r="O153" s="451">
        <f>IF(ISBLANK(CkReg16_181517[[#This Row],[Withdrawal]]),O152+CkReg16_181517[[#This Row],[Deposit]],O152-CkReg16_181517[[#This Row],[Withdrawal]])</f>
        <v>5046.4679999999898</v>
      </c>
      <c r="P153" s="376"/>
      <c r="Q153" s="457">
        <f>IF(ISBLANK(CkReg16_181517[[#This Row],[Withdrawal]]),Q152+CkReg16_181517[[#This Row],[Deposit]],Q152-CkReg16_181517[[#This Row],[Withdrawal]])</f>
        <v>13761.467999999997</v>
      </c>
      <c r="R153" s="376"/>
    </row>
    <row r="154" spans="8:18" x14ac:dyDescent="0.3">
      <c r="H154" s="286"/>
      <c r="I154" s="383"/>
      <c r="J154" s="285"/>
      <c r="K154" s="285"/>
      <c r="L154" s="285"/>
      <c r="M154" s="446"/>
      <c r="N154" s="451"/>
      <c r="O154" s="451">
        <f>IF(ISBLANK(CkReg16_181517[[#This Row],[Withdrawal]]),O153+CkReg16_181517[[#This Row],[Deposit]],O153-CkReg16_181517[[#This Row],[Withdrawal]])</f>
        <v>5046.4679999999898</v>
      </c>
      <c r="P154" s="376"/>
      <c r="Q154" s="457">
        <f>IF(ISBLANK(CkReg16_181517[[#This Row],[Withdrawal]]),Q153+CkReg16_181517[[#This Row],[Deposit]],Q153-CkReg16_181517[[#This Row],[Withdrawal]])</f>
        <v>13761.467999999997</v>
      </c>
      <c r="R154" s="376"/>
    </row>
    <row r="155" spans="8:18" x14ac:dyDescent="0.3">
      <c r="H155" s="286"/>
      <c r="I155" s="383"/>
      <c r="J155" s="285"/>
      <c r="K155" s="285"/>
      <c r="L155" s="285"/>
      <c r="M155" s="446"/>
      <c r="N155" s="456"/>
      <c r="O155" s="451">
        <f>IF(ISBLANK(CkReg16_181517[[#This Row],[Withdrawal]]),O154+CkReg16_181517[[#This Row],[Deposit]],O154-CkReg16_181517[[#This Row],[Withdrawal]])</f>
        <v>5046.4679999999898</v>
      </c>
      <c r="P155" s="376"/>
      <c r="Q155" s="457">
        <f>IF(ISBLANK(CkReg16_181517[[#This Row],[Withdrawal]]),Q154+CkReg16_181517[[#This Row],[Deposit]],Q154-CkReg16_181517[[#This Row],[Withdrawal]])</f>
        <v>13761.467999999997</v>
      </c>
      <c r="R155" s="376"/>
    </row>
    <row r="156" spans="8:18" x14ac:dyDescent="0.3">
      <c r="H156" s="286"/>
      <c r="I156" s="383"/>
      <c r="J156" s="285"/>
      <c r="K156" s="285"/>
      <c r="L156" s="285"/>
      <c r="M156" s="446"/>
      <c r="N156" s="451"/>
      <c r="O156" s="451">
        <f>IF(ISBLANK(CkReg16_181517[[#This Row],[Withdrawal]]),O155+CkReg16_181517[[#This Row],[Deposit]],O155-CkReg16_181517[[#This Row],[Withdrawal]])</f>
        <v>5046.4679999999898</v>
      </c>
      <c r="P156" s="376"/>
      <c r="Q156" s="457">
        <f>IF(ISBLANK(CkReg16_181517[[#This Row],[Withdrawal]]),Q155+CkReg16_181517[[#This Row],[Deposit]],Q155-CkReg16_181517[[#This Row],[Withdrawal]])</f>
        <v>13761.467999999997</v>
      </c>
      <c r="R156" s="376"/>
    </row>
    <row r="157" spans="8:18" x14ac:dyDescent="0.3">
      <c r="H157" s="286"/>
      <c r="I157" s="383"/>
      <c r="J157" s="285"/>
      <c r="K157" s="285"/>
      <c r="L157" s="285"/>
      <c r="M157" s="446"/>
      <c r="N157" s="451"/>
      <c r="O157" s="451">
        <f>IF(ISBLANK(CkReg16_181517[[#This Row],[Withdrawal]]),O156+CkReg16_181517[[#This Row],[Deposit]],O156-CkReg16_181517[[#This Row],[Withdrawal]])</f>
        <v>5046.4679999999898</v>
      </c>
      <c r="P157" s="376"/>
      <c r="Q157" s="457">
        <f>IF(ISBLANK(CkReg16_181517[[#This Row],[Withdrawal]]),Q156+CkReg16_181517[[#This Row],[Deposit]],Q156-CkReg16_181517[[#This Row],[Withdrawal]])</f>
        <v>13761.467999999997</v>
      </c>
      <c r="R157" s="376"/>
    </row>
    <row r="158" spans="8:18" x14ac:dyDescent="0.3">
      <c r="H158" s="286"/>
      <c r="I158" s="383"/>
      <c r="J158" s="285"/>
      <c r="K158" s="285"/>
      <c r="L158" s="285"/>
      <c r="M158" s="446"/>
      <c r="N158" s="451"/>
      <c r="O158" s="451">
        <f>IF(ISBLANK(CkReg16_181517[[#This Row],[Withdrawal]]),O157+CkReg16_181517[[#This Row],[Deposit]],O157-CkReg16_181517[[#This Row],[Withdrawal]])</f>
        <v>5046.4679999999898</v>
      </c>
      <c r="P158" s="376"/>
      <c r="Q158" s="457">
        <f>IF(ISBLANK(CkReg16_181517[[#This Row],[Withdrawal]]),Q157+CkReg16_181517[[#This Row],[Deposit]],Q157-CkReg16_181517[[#This Row],[Withdrawal]])</f>
        <v>13761.467999999997</v>
      </c>
      <c r="R158" s="376"/>
    </row>
    <row r="159" spans="8:18" x14ac:dyDescent="0.3">
      <c r="H159" s="286"/>
      <c r="I159" s="383"/>
      <c r="J159" s="285"/>
      <c r="K159" s="285"/>
      <c r="L159" s="285"/>
      <c r="M159" s="446"/>
      <c r="N159" s="451"/>
      <c r="O159" s="451">
        <f>IF(ISBLANK(CkReg16_181517[[#This Row],[Withdrawal]]),O158+CkReg16_181517[[#This Row],[Deposit]],O158-CkReg16_181517[[#This Row],[Withdrawal]])</f>
        <v>5046.4679999999898</v>
      </c>
      <c r="P159" s="376"/>
      <c r="Q159" s="457">
        <f>IF(ISBLANK(CkReg16_181517[[#This Row],[Withdrawal]]),Q158+CkReg16_181517[[#This Row],[Deposit]],Q158-CkReg16_181517[[#This Row],[Withdrawal]])</f>
        <v>13761.467999999997</v>
      </c>
      <c r="R159" s="376"/>
    </row>
    <row r="160" spans="8:18" x14ac:dyDescent="0.3">
      <c r="H160" s="286"/>
      <c r="I160" s="383"/>
      <c r="J160" s="285"/>
      <c r="K160" s="285"/>
      <c r="L160" s="285"/>
      <c r="M160" s="446"/>
      <c r="N160" s="451"/>
      <c r="O160" s="451">
        <f>IF(ISBLANK(CkReg16_181517[[#This Row],[Withdrawal]]),O159+CkReg16_181517[[#This Row],[Deposit]],O159-CkReg16_181517[[#This Row],[Withdrawal]])</f>
        <v>5046.4679999999898</v>
      </c>
      <c r="P160" s="376"/>
      <c r="Q160" s="457">
        <f>IF(ISBLANK(CkReg16_181517[[#This Row],[Withdrawal]]),Q159+CkReg16_181517[[#This Row],[Deposit]],Q159-CkReg16_181517[[#This Row],[Withdrawal]])</f>
        <v>13761.467999999997</v>
      </c>
      <c r="R160" s="376"/>
    </row>
    <row r="161" spans="8:18" x14ac:dyDescent="0.3">
      <c r="H161" s="286"/>
      <c r="I161" s="383"/>
      <c r="J161" s="285"/>
      <c r="K161" s="285"/>
      <c r="L161" s="285"/>
      <c r="M161" s="446"/>
      <c r="N161" s="451"/>
      <c r="O161" s="451">
        <f>IF(ISBLANK(CkReg16_181517[[#This Row],[Withdrawal]]),O160+CkReg16_181517[[#This Row],[Deposit]],O160-CkReg16_181517[[#This Row],[Withdrawal]])</f>
        <v>5046.4679999999898</v>
      </c>
      <c r="P161" s="376"/>
      <c r="Q161" s="457">
        <f>IF(ISBLANK(CkReg16_181517[[#This Row],[Withdrawal]]),Q160+CkReg16_181517[[#This Row],[Deposit]],Q160-CkReg16_181517[[#This Row],[Withdrawal]])</f>
        <v>13761.467999999997</v>
      </c>
      <c r="R161" s="376"/>
    </row>
    <row r="162" spans="8:18" x14ac:dyDescent="0.3">
      <c r="H162" s="286"/>
      <c r="I162" s="383"/>
      <c r="J162" s="285"/>
      <c r="K162" s="285"/>
      <c r="L162" s="285"/>
      <c r="M162" s="446"/>
      <c r="N162" s="451"/>
      <c r="O162" s="451">
        <f>IF(ISBLANK(CkReg16_181517[[#This Row],[Withdrawal]]),O161+CkReg16_181517[[#This Row],[Deposit]],O161-CkReg16_181517[[#This Row],[Withdrawal]])</f>
        <v>5046.4679999999898</v>
      </c>
      <c r="P162" s="376"/>
      <c r="Q162" s="457">
        <f>IF(ISBLANK(CkReg16_181517[[#This Row],[Withdrawal]]),Q161+CkReg16_181517[[#This Row],[Deposit]],Q161-CkReg16_181517[[#This Row],[Withdrawal]])</f>
        <v>13761.467999999997</v>
      </c>
      <c r="R162" s="376"/>
    </row>
    <row r="163" spans="8:18" x14ac:dyDescent="0.3">
      <c r="H163" s="286"/>
      <c r="I163" s="383"/>
      <c r="J163" s="285"/>
      <c r="K163" s="285"/>
      <c r="L163" s="285"/>
      <c r="M163" s="446"/>
      <c r="N163" s="451"/>
      <c r="O163" s="451">
        <f>IF(ISBLANK(CkReg16_181517[[#This Row],[Withdrawal]]),O162+CkReg16_181517[[#This Row],[Deposit]],O162-CkReg16_181517[[#This Row],[Withdrawal]])</f>
        <v>5046.4679999999898</v>
      </c>
      <c r="P163" s="376"/>
      <c r="Q163" s="457">
        <f>IF(ISBLANK(CkReg16_181517[[#This Row],[Withdrawal]]),Q162+CkReg16_181517[[#This Row],[Deposit]],Q162-CkReg16_181517[[#This Row],[Withdrawal]])</f>
        <v>13761.467999999997</v>
      </c>
      <c r="R163" s="376"/>
    </row>
    <row r="164" spans="8:18" x14ac:dyDescent="0.3">
      <c r="H164" s="286"/>
      <c r="I164" s="383"/>
      <c r="J164" s="285"/>
      <c r="K164" s="285"/>
      <c r="L164" s="285"/>
      <c r="M164" s="446"/>
      <c r="N164" s="451"/>
      <c r="O164" s="451">
        <f>IF(ISBLANK(CkReg16_181517[[#This Row],[Withdrawal]]),O163+CkReg16_181517[[#This Row],[Deposit]],O163-CkReg16_181517[[#This Row],[Withdrawal]])</f>
        <v>5046.4679999999898</v>
      </c>
      <c r="P164" s="376"/>
      <c r="Q164" s="457">
        <f>IF(ISBLANK(CkReg16_181517[[#This Row],[Withdrawal]]),Q163+CkReg16_181517[[#This Row],[Deposit]],Q163-CkReg16_181517[[#This Row],[Withdrawal]])</f>
        <v>13761.467999999997</v>
      </c>
      <c r="R164" s="376"/>
    </row>
    <row r="165" spans="8:18" x14ac:dyDescent="0.3">
      <c r="H165" s="286"/>
      <c r="I165" s="383"/>
      <c r="J165" s="285"/>
      <c r="K165" s="285"/>
      <c r="L165" s="285"/>
      <c r="M165" s="446"/>
      <c r="N165" s="451"/>
      <c r="O165" s="451">
        <f>IF(ISBLANK(CkReg16_181517[[#This Row],[Withdrawal]]),O164+CkReg16_181517[[#This Row],[Deposit]],O164-CkReg16_181517[[#This Row],[Withdrawal]])</f>
        <v>5046.4679999999898</v>
      </c>
      <c r="P165" s="376"/>
      <c r="Q165" s="457">
        <f>IF(ISBLANK(CkReg16_181517[[#This Row],[Withdrawal]]),Q164+CkReg16_181517[[#This Row],[Deposit]],Q164-CkReg16_181517[[#This Row],[Withdrawal]])</f>
        <v>13761.467999999997</v>
      </c>
      <c r="R165" s="376"/>
    </row>
    <row r="166" spans="8:18" x14ac:dyDescent="0.3">
      <c r="H166" s="286"/>
      <c r="I166" s="383"/>
      <c r="J166" s="285"/>
      <c r="K166" s="285"/>
      <c r="L166" s="285"/>
      <c r="M166" s="446"/>
      <c r="N166" s="451"/>
      <c r="O166" s="451">
        <f>IF(ISBLANK(CkReg16_181517[[#This Row],[Withdrawal]]),O165+CkReg16_181517[[#This Row],[Deposit]],O165-CkReg16_181517[[#This Row],[Withdrawal]])</f>
        <v>5046.4679999999898</v>
      </c>
      <c r="P166" s="376"/>
      <c r="Q166" s="457">
        <f>IF(ISBLANK(CkReg16_181517[[#This Row],[Withdrawal]]),Q165+CkReg16_181517[[#This Row],[Deposit]],Q165-CkReg16_181517[[#This Row],[Withdrawal]])</f>
        <v>13761.467999999997</v>
      </c>
      <c r="R166" s="376"/>
    </row>
    <row r="167" spans="8:18" x14ac:dyDescent="0.3">
      <c r="H167" s="286"/>
      <c r="I167" s="383"/>
      <c r="J167" s="285"/>
      <c r="K167" s="285"/>
      <c r="L167" s="285"/>
      <c r="M167" s="446"/>
      <c r="N167" s="451"/>
      <c r="O167" s="451">
        <f>IF(ISBLANK(CkReg16_181517[[#This Row],[Withdrawal]]),O166+CkReg16_181517[[#This Row],[Deposit]],O166-CkReg16_181517[[#This Row],[Withdrawal]])</f>
        <v>5046.4679999999898</v>
      </c>
      <c r="P167" s="376"/>
      <c r="Q167" s="457">
        <f>IF(ISBLANK(CkReg16_181517[[#This Row],[Withdrawal]]),Q166+CkReg16_181517[[#This Row],[Deposit]],Q166-CkReg16_181517[[#This Row],[Withdrawal]])</f>
        <v>13761.467999999997</v>
      </c>
      <c r="R167" s="376"/>
    </row>
    <row r="168" spans="8:18" x14ac:dyDescent="0.3">
      <c r="H168" s="286"/>
      <c r="I168" s="383"/>
      <c r="J168" s="285"/>
      <c r="K168" s="285"/>
      <c r="L168" s="285"/>
      <c r="M168" s="446"/>
      <c r="N168" s="451"/>
      <c r="O168" s="451">
        <f>IF(ISBLANK(CkReg16_181517[[#This Row],[Withdrawal]]),O167+CkReg16_181517[[#This Row],[Deposit]],O167-CkReg16_181517[[#This Row],[Withdrawal]])</f>
        <v>5046.4679999999898</v>
      </c>
      <c r="P168" s="376"/>
      <c r="Q168" s="457">
        <f>IF(ISBLANK(CkReg16_181517[[#This Row],[Withdrawal]]),Q167+CkReg16_181517[[#This Row],[Deposit]],Q167-CkReg16_181517[[#This Row],[Withdrawal]])</f>
        <v>13761.467999999997</v>
      </c>
      <c r="R168" s="376"/>
    </row>
    <row r="169" spans="8:18" x14ac:dyDescent="0.3">
      <c r="H169" s="286"/>
      <c r="I169" s="383"/>
      <c r="J169" s="285"/>
      <c r="K169" s="285"/>
      <c r="L169" s="285"/>
      <c r="M169" s="446"/>
      <c r="N169" s="451"/>
      <c r="O169" s="451">
        <f>IF(ISBLANK(CkReg16_181517[[#This Row],[Withdrawal]]),O168+CkReg16_181517[[#This Row],[Deposit]],O168-CkReg16_181517[[#This Row],[Withdrawal]])</f>
        <v>5046.4679999999898</v>
      </c>
      <c r="P169" s="376"/>
      <c r="Q169" s="457">
        <f>IF(ISBLANK(CkReg16_181517[[#This Row],[Withdrawal]]),Q168+CkReg16_181517[[#This Row],[Deposit]],Q168-CkReg16_181517[[#This Row],[Withdrawal]])</f>
        <v>13761.467999999997</v>
      </c>
      <c r="R169" s="376"/>
    </row>
    <row r="170" spans="8:18" x14ac:dyDescent="0.3">
      <c r="H170" s="286"/>
      <c r="I170" s="383"/>
      <c r="J170" s="285"/>
      <c r="K170" s="285"/>
      <c r="L170" s="285"/>
      <c r="M170" s="446"/>
      <c r="N170" s="451"/>
      <c r="O170" s="451">
        <f>IF(ISBLANK(CkReg16_181517[[#This Row],[Withdrawal]]),O169+CkReg16_181517[[#This Row],[Deposit]],O169-CkReg16_181517[[#This Row],[Withdrawal]])</f>
        <v>5046.4679999999898</v>
      </c>
      <c r="P170" s="376"/>
      <c r="Q170" s="457">
        <f>IF(ISBLANK(CkReg16_181517[[#This Row],[Withdrawal]]),Q169+CkReg16_181517[[#This Row],[Deposit]],Q169-CkReg16_181517[[#This Row],[Withdrawal]])</f>
        <v>13761.467999999997</v>
      </c>
      <c r="R170" s="376"/>
    </row>
    <row r="171" spans="8:18" x14ac:dyDescent="0.3">
      <c r="H171" s="286"/>
      <c r="I171" s="383"/>
      <c r="J171" s="285"/>
      <c r="K171" s="285"/>
      <c r="L171" s="285"/>
      <c r="M171" s="446"/>
      <c r="N171" s="451"/>
      <c r="O171" s="451">
        <f>IF(ISBLANK(CkReg16_181517[[#This Row],[Withdrawal]]),O170+CkReg16_181517[[#This Row],[Deposit]],O170-CkReg16_181517[[#This Row],[Withdrawal]])</f>
        <v>5046.4679999999898</v>
      </c>
      <c r="P171" s="376"/>
      <c r="Q171" s="457">
        <f>IF(ISBLANK(CkReg16_181517[[#This Row],[Withdrawal]]),Q170+CkReg16_181517[[#This Row],[Deposit]],Q170-CkReg16_181517[[#This Row],[Withdrawal]])</f>
        <v>13761.467999999997</v>
      </c>
      <c r="R171" s="376"/>
    </row>
    <row r="172" spans="8:18" x14ac:dyDescent="0.3">
      <c r="H172" s="286"/>
      <c r="I172" s="383"/>
      <c r="J172" s="285"/>
      <c r="K172" s="285"/>
      <c r="L172" s="285"/>
      <c r="M172" s="446"/>
      <c r="N172" s="451"/>
      <c r="O172" s="451">
        <f>IF(ISBLANK(CkReg16_181517[[#This Row],[Withdrawal]]),O171+CkReg16_181517[[#This Row],[Deposit]],O171-CkReg16_181517[[#This Row],[Withdrawal]])</f>
        <v>5046.4679999999898</v>
      </c>
      <c r="P172" s="376"/>
      <c r="Q172" s="457">
        <f>IF(ISBLANK(CkReg16_181517[[#This Row],[Withdrawal]]),Q171+CkReg16_181517[[#This Row],[Deposit]],Q171-CkReg16_181517[[#This Row],[Withdrawal]])</f>
        <v>13761.467999999997</v>
      </c>
      <c r="R172" s="376"/>
    </row>
    <row r="173" spans="8:18" x14ac:dyDescent="0.3">
      <c r="H173" s="286"/>
      <c r="I173" s="383"/>
      <c r="J173" s="285"/>
      <c r="K173" s="285"/>
      <c r="L173" s="285"/>
      <c r="M173" s="446"/>
      <c r="N173" s="451"/>
      <c r="O173" s="451">
        <f>IF(ISBLANK(CkReg16_181517[[#This Row],[Withdrawal]]),O172+CkReg16_181517[[#This Row],[Deposit]],O172-CkReg16_181517[[#This Row],[Withdrawal]])</f>
        <v>5046.4679999999898</v>
      </c>
      <c r="P173" s="376"/>
      <c r="Q173" s="457">
        <f>IF(ISBLANK(CkReg16_181517[[#This Row],[Withdrawal]]),Q172+CkReg16_181517[[#This Row],[Deposit]],Q172-CkReg16_181517[[#This Row],[Withdrawal]])</f>
        <v>13761.467999999997</v>
      </c>
      <c r="R173" s="376"/>
    </row>
    <row r="174" spans="8:18" x14ac:dyDescent="0.3">
      <c r="H174" s="286"/>
      <c r="I174" s="383"/>
      <c r="J174" s="285"/>
      <c r="K174" s="285"/>
      <c r="L174" s="285"/>
      <c r="M174" s="446"/>
      <c r="N174" s="451"/>
      <c r="O174" s="451">
        <f>IF(ISBLANK(CkReg16_181517[[#This Row],[Withdrawal]]),O173+CkReg16_181517[[#This Row],[Deposit]],O173-CkReg16_181517[[#This Row],[Withdrawal]])</f>
        <v>5046.4679999999898</v>
      </c>
      <c r="P174" s="376"/>
      <c r="Q174" s="457">
        <f>IF(ISBLANK(CkReg16_181517[[#This Row],[Withdrawal]]),Q173+CkReg16_181517[[#This Row],[Deposit]],Q173-CkReg16_181517[[#This Row],[Withdrawal]])</f>
        <v>13761.467999999997</v>
      </c>
      <c r="R174" s="376"/>
    </row>
    <row r="175" spans="8:18" x14ac:dyDescent="0.3">
      <c r="H175" s="286"/>
      <c r="I175" s="383"/>
      <c r="J175" s="285"/>
      <c r="K175" s="285"/>
      <c r="L175" s="285"/>
      <c r="M175" s="446"/>
      <c r="N175" s="451"/>
      <c r="O175" s="451">
        <f>IF(ISBLANK(CkReg16_181517[[#This Row],[Withdrawal]]),O174+CkReg16_181517[[#This Row],[Deposit]],O174-CkReg16_181517[[#This Row],[Withdrawal]])</f>
        <v>5046.4679999999898</v>
      </c>
      <c r="P175" s="376"/>
      <c r="Q175" s="457">
        <f>IF(ISBLANK(CkReg16_181517[[#This Row],[Withdrawal]]),Q174+CkReg16_181517[[#This Row],[Deposit]],Q174-CkReg16_181517[[#This Row],[Withdrawal]])</f>
        <v>13761.467999999997</v>
      </c>
      <c r="R175" s="376"/>
    </row>
    <row r="176" spans="8:18" x14ac:dyDescent="0.3">
      <c r="H176" s="286"/>
      <c r="I176" s="383"/>
      <c r="J176" s="285"/>
      <c r="K176" s="285"/>
      <c r="L176" s="285"/>
      <c r="M176" s="446"/>
      <c r="N176" s="451"/>
      <c r="O176" s="451">
        <f>IF(ISBLANK(CkReg16_181517[[#This Row],[Withdrawal]]),O175+CkReg16_181517[[#This Row],[Deposit]],O175-CkReg16_181517[[#This Row],[Withdrawal]])</f>
        <v>5046.4679999999898</v>
      </c>
      <c r="P176" s="376"/>
      <c r="Q176" s="457">
        <f>IF(ISBLANK(CkReg16_181517[[#This Row],[Withdrawal]]),Q175+CkReg16_181517[[#This Row],[Deposit]],Q175-CkReg16_181517[[#This Row],[Withdrawal]])</f>
        <v>13761.467999999997</v>
      </c>
      <c r="R176" s="376"/>
    </row>
    <row r="177" spans="8:18" x14ac:dyDescent="0.3">
      <c r="H177" s="286"/>
      <c r="I177" s="383"/>
      <c r="J177" s="285"/>
      <c r="K177" s="285"/>
      <c r="L177" s="285"/>
      <c r="M177" s="446"/>
      <c r="N177" s="451"/>
      <c r="O177" s="451">
        <f>IF(ISBLANK(CkReg16_181517[[#This Row],[Withdrawal]]),O176+CkReg16_181517[[#This Row],[Deposit]],O176-CkReg16_181517[[#This Row],[Withdrawal]])</f>
        <v>5046.4679999999898</v>
      </c>
      <c r="P177" s="376"/>
      <c r="Q177" s="457">
        <f>IF(ISBLANK(CkReg16_181517[[#This Row],[Withdrawal]]),Q176+CkReg16_181517[[#This Row],[Deposit]],Q176-CkReg16_181517[[#This Row],[Withdrawal]])</f>
        <v>13761.467999999997</v>
      </c>
      <c r="R177" s="376"/>
    </row>
    <row r="178" spans="8:18" x14ac:dyDescent="0.3">
      <c r="H178" s="286"/>
      <c r="I178" s="383"/>
      <c r="J178" s="285"/>
      <c r="K178" s="285"/>
      <c r="L178" s="285"/>
      <c r="M178" s="446"/>
      <c r="N178" s="451"/>
      <c r="O178" s="451">
        <f>IF(ISBLANK(CkReg16_181517[[#This Row],[Withdrawal]]),O177+CkReg16_181517[[#This Row],[Deposit]],O177-CkReg16_181517[[#This Row],[Withdrawal]])</f>
        <v>5046.4679999999898</v>
      </c>
      <c r="P178" s="376"/>
      <c r="Q178" s="457">
        <f>IF(ISBLANK(CkReg16_181517[[#This Row],[Withdrawal]]),Q177+CkReg16_181517[[#This Row],[Deposit]],Q177-CkReg16_181517[[#This Row],[Withdrawal]])</f>
        <v>13761.467999999997</v>
      </c>
      <c r="R178" s="376"/>
    </row>
    <row r="179" spans="8:18" x14ac:dyDescent="0.3">
      <c r="H179" s="286"/>
      <c r="I179" s="383"/>
      <c r="J179" s="285"/>
      <c r="K179" s="285"/>
      <c r="L179" s="285"/>
      <c r="M179" s="446"/>
      <c r="N179" s="451"/>
      <c r="O179" s="451">
        <f>IF(ISBLANK(CkReg16_181517[[#This Row],[Withdrawal]]),O178+CkReg16_181517[[#This Row],[Deposit]],O178-CkReg16_181517[[#This Row],[Withdrawal]])</f>
        <v>5046.4679999999898</v>
      </c>
      <c r="P179" s="376"/>
      <c r="Q179" s="457">
        <f>IF(ISBLANK(CkReg16_181517[[#This Row],[Withdrawal]]),Q178+CkReg16_181517[[#This Row],[Deposit]],Q178-CkReg16_181517[[#This Row],[Withdrawal]])</f>
        <v>13761.467999999997</v>
      </c>
      <c r="R179" s="376"/>
    </row>
    <row r="180" spans="8:18" x14ac:dyDescent="0.3">
      <c r="H180" s="286"/>
      <c r="I180" s="383"/>
      <c r="J180" s="285"/>
      <c r="K180" s="285"/>
      <c r="L180" s="285"/>
      <c r="M180" s="446"/>
      <c r="N180" s="451"/>
      <c r="O180" s="451">
        <f>IF(ISBLANK(CkReg16_181517[[#This Row],[Withdrawal]]),O179+CkReg16_181517[[#This Row],[Deposit]],O179-CkReg16_181517[[#This Row],[Withdrawal]])</f>
        <v>5046.4679999999898</v>
      </c>
      <c r="P180" s="376"/>
      <c r="Q180" s="457">
        <f>IF(ISBLANK(CkReg16_181517[[#This Row],[Withdrawal]]),Q179+CkReg16_181517[[#This Row],[Deposit]],Q179-CkReg16_181517[[#This Row],[Withdrawal]])</f>
        <v>13761.467999999997</v>
      </c>
      <c r="R180" s="376"/>
    </row>
    <row r="181" spans="8:18" x14ac:dyDescent="0.3">
      <c r="H181" s="286"/>
      <c r="I181" s="383"/>
      <c r="J181" s="285"/>
      <c r="K181" s="285"/>
      <c r="L181" s="285"/>
      <c r="M181" s="446"/>
      <c r="N181" s="451"/>
      <c r="O181" s="451">
        <f>IF(ISBLANK(CkReg16_181517[[#This Row],[Withdrawal]]),O180+CkReg16_181517[[#This Row],[Deposit]],O180-CkReg16_181517[[#This Row],[Withdrawal]])</f>
        <v>5046.4679999999898</v>
      </c>
      <c r="P181" s="376"/>
      <c r="Q181" s="457">
        <f>IF(ISBLANK(CkReg16_181517[[#This Row],[Withdrawal]]),Q180+CkReg16_181517[[#This Row],[Deposit]],Q180-CkReg16_181517[[#This Row],[Withdrawal]])</f>
        <v>13761.467999999997</v>
      </c>
      <c r="R181" s="376"/>
    </row>
    <row r="182" spans="8:18" x14ac:dyDescent="0.3">
      <c r="H182" s="286"/>
      <c r="I182" s="383"/>
      <c r="J182" s="285"/>
      <c r="K182" s="285"/>
      <c r="L182" s="285"/>
      <c r="M182" s="446"/>
      <c r="N182" s="451"/>
      <c r="O182" s="451">
        <f>IF(ISBLANK(CkReg16_181517[[#This Row],[Withdrawal]]),O181+CkReg16_181517[[#This Row],[Deposit]],O181-CkReg16_181517[[#This Row],[Withdrawal]])</f>
        <v>5046.4679999999898</v>
      </c>
      <c r="P182" s="376"/>
      <c r="Q182" s="457">
        <f>IF(ISBLANK(CkReg16_181517[[#This Row],[Withdrawal]]),Q181+CkReg16_181517[[#This Row],[Deposit]],Q181-CkReg16_181517[[#This Row],[Withdrawal]])</f>
        <v>13761.467999999997</v>
      </c>
      <c r="R182" s="376"/>
    </row>
    <row r="183" spans="8:18" x14ac:dyDescent="0.3">
      <c r="H183" s="286"/>
      <c r="I183" s="383"/>
      <c r="J183" s="285"/>
      <c r="K183" s="285"/>
      <c r="L183" s="285"/>
      <c r="M183" s="446"/>
      <c r="N183" s="451"/>
      <c r="O183" s="451">
        <f>IF(ISBLANK(CkReg16_181517[[#This Row],[Withdrawal]]),O182+CkReg16_181517[[#This Row],[Deposit]],O182-CkReg16_181517[[#This Row],[Withdrawal]])</f>
        <v>5046.4679999999898</v>
      </c>
      <c r="P183" s="376"/>
      <c r="Q183" s="457">
        <f>IF(ISBLANK(CkReg16_181517[[#This Row],[Withdrawal]]),Q182+CkReg16_181517[[#This Row],[Deposit]],Q182-CkReg16_181517[[#This Row],[Withdrawal]])</f>
        <v>13761.467999999997</v>
      </c>
      <c r="R183" s="376"/>
    </row>
    <row r="184" spans="8:18" x14ac:dyDescent="0.3">
      <c r="H184" s="286"/>
      <c r="I184" s="383"/>
      <c r="J184" s="285"/>
      <c r="K184" s="285"/>
      <c r="L184" s="285"/>
      <c r="M184" s="446"/>
      <c r="N184" s="451"/>
      <c r="O184" s="451">
        <f>IF(ISBLANK(CkReg16_181517[[#This Row],[Withdrawal]]),O183+CkReg16_181517[[#This Row],[Deposit]],O183-CkReg16_181517[[#This Row],[Withdrawal]])</f>
        <v>5046.4679999999898</v>
      </c>
      <c r="P184" s="376"/>
      <c r="Q184" s="457">
        <f>IF(ISBLANK(CkReg16_181517[[#This Row],[Withdrawal]]),Q183+CkReg16_181517[[#This Row],[Deposit]],Q183-CkReg16_181517[[#This Row],[Withdrawal]])</f>
        <v>13761.467999999997</v>
      </c>
      <c r="R184" s="376"/>
    </row>
    <row r="185" spans="8:18" x14ac:dyDescent="0.3">
      <c r="H185" s="286"/>
      <c r="I185" s="383"/>
      <c r="J185" s="285"/>
      <c r="K185" s="285"/>
      <c r="L185" s="285"/>
      <c r="M185" s="446"/>
      <c r="N185" s="451"/>
      <c r="O185" s="451">
        <f>IF(ISBLANK(CkReg16_181517[[#This Row],[Withdrawal]]),O184+CkReg16_181517[[#This Row],[Deposit]],O184-CkReg16_181517[[#This Row],[Withdrawal]])</f>
        <v>5046.4679999999898</v>
      </c>
      <c r="P185" s="376"/>
      <c r="Q185" s="457">
        <f>IF(ISBLANK(CkReg16_181517[[#This Row],[Withdrawal]]),Q184+CkReg16_181517[[#This Row],[Deposit]],Q184-CkReg16_181517[[#This Row],[Withdrawal]])</f>
        <v>13761.467999999997</v>
      </c>
      <c r="R185" s="376"/>
    </row>
    <row r="186" spans="8:18" x14ac:dyDescent="0.3">
      <c r="H186" s="286"/>
      <c r="I186" s="383"/>
      <c r="J186" s="285"/>
      <c r="K186" s="285"/>
      <c r="L186" s="285"/>
      <c r="M186" s="446"/>
      <c r="N186" s="451"/>
      <c r="O186" s="451">
        <f>IF(ISBLANK(CkReg16_181517[[#This Row],[Withdrawal]]),O185+CkReg16_181517[[#This Row],[Deposit]],O185-CkReg16_181517[[#This Row],[Withdrawal]])</f>
        <v>5046.4679999999898</v>
      </c>
      <c r="P186" s="376"/>
      <c r="Q186" s="457">
        <f>IF(ISBLANK(CkReg16_181517[[#This Row],[Withdrawal]]),Q185+CkReg16_181517[[#This Row],[Deposit]],Q185-CkReg16_181517[[#This Row],[Withdrawal]])</f>
        <v>13761.467999999997</v>
      </c>
      <c r="R186" s="376"/>
    </row>
    <row r="187" spans="8:18" x14ac:dyDescent="0.3">
      <c r="H187" s="286"/>
      <c r="I187" s="383"/>
      <c r="J187" s="285"/>
      <c r="K187" s="285"/>
      <c r="L187" s="285"/>
      <c r="M187" s="446"/>
      <c r="N187" s="451"/>
      <c r="O187" s="451">
        <f>IF(ISBLANK(CkReg16_181517[[#This Row],[Withdrawal]]),O186+CkReg16_181517[[#This Row],[Deposit]],O186-CkReg16_181517[[#This Row],[Withdrawal]])</f>
        <v>5046.4679999999898</v>
      </c>
      <c r="P187" s="376"/>
      <c r="Q187" s="457">
        <f>IF(ISBLANK(CkReg16_181517[[#This Row],[Withdrawal]]),Q186+CkReg16_181517[[#This Row],[Deposit]],Q186-CkReg16_181517[[#This Row],[Withdrawal]])</f>
        <v>13761.467999999997</v>
      </c>
      <c r="R187" s="376"/>
    </row>
    <row r="188" spans="8:18" x14ac:dyDescent="0.3">
      <c r="H188" s="286"/>
      <c r="I188" s="383"/>
      <c r="J188" s="285"/>
      <c r="K188" s="285"/>
      <c r="L188" s="285"/>
      <c r="M188" s="446"/>
      <c r="N188" s="451"/>
      <c r="O188" s="451">
        <f>IF(ISBLANK(CkReg16_181517[[#This Row],[Withdrawal]]),O187+CkReg16_181517[[#This Row],[Deposit]],O187-CkReg16_181517[[#This Row],[Withdrawal]])</f>
        <v>5046.4679999999898</v>
      </c>
      <c r="P188" s="376"/>
      <c r="Q188" s="457">
        <f>IF(ISBLANK(CkReg16_181517[[#This Row],[Withdrawal]]),Q187+CkReg16_181517[[#This Row],[Deposit]],Q187-CkReg16_181517[[#This Row],[Withdrawal]])</f>
        <v>13761.467999999997</v>
      </c>
      <c r="R188" s="376"/>
    </row>
    <row r="189" spans="8:18" x14ac:dyDescent="0.3">
      <c r="H189" s="286"/>
      <c r="I189" s="383"/>
      <c r="J189" s="285"/>
      <c r="K189" s="285"/>
      <c r="L189" s="285"/>
      <c r="M189" s="446"/>
      <c r="N189" s="451"/>
      <c r="O189" s="451">
        <f>IF(ISBLANK(CkReg16_181517[[#This Row],[Withdrawal]]),O188+CkReg16_181517[[#This Row],[Deposit]],O188-CkReg16_181517[[#This Row],[Withdrawal]])</f>
        <v>5046.4679999999898</v>
      </c>
      <c r="P189" s="376"/>
      <c r="Q189" s="457">
        <f>IF(ISBLANK(CkReg16_181517[[#This Row],[Withdrawal]]),Q188+CkReg16_181517[[#This Row],[Deposit]],Q188-CkReg16_181517[[#This Row],[Withdrawal]])</f>
        <v>13761.467999999997</v>
      </c>
      <c r="R189" s="376"/>
    </row>
    <row r="190" spans="8:18" x14ac:dyDescent="0.3">
      <c r="H190" s="286"/>
      <c r="I190" s="383"/>
      <c r="J190" s="285"/>
      <c r="K190" s="285"/>
      <c r="L190" s="285"/>
      <c r="M190" s="446"/>
      <c r="N190" s="451"/>
      <c r="O190" s="451">
        <f>IF(ISBLANK(CkReg16_181517[[#This Row],[Withdrawal]]),O189+CkReg16_181517[[#This Row],[Deposit]],O189-CkReg16_181517[[#This Row],[Withdrawal]])</f>
        <v>5046.4679999999898</v>
      </c>
      <c r="P190" s="376"/>
      <c r="Q190" s="457">
        <f>IF(ISBLANK(CkReg16_181517[[#This Row],[Withdrawal]]),Q189+CkReg16_181517[[#This Row],[Deposit]],Q189-CkReg16_181517[[#This Row],[Withdrawal]])</f>
        <v>13761.467999999997</v>
      </c>
      <c r="R190" s="376"/>
    </row>
    <row r="191" spans="8:18" x14ac:dyDescent="0.3">
      <c r="H191" s="286"/>
      <c r="I191" s="383"/>
      <c r="J191" s="285"/>
      <c r="K191" s="285"/>
      <c r="L191" s="285"/>
      <c r="M191" s="446"/>
      <c r="N191" s="451"/>
      <c r="O191" s="451">
        <f>IF(ISBLANK(CkReg16_181517[[#This Row],[Withdrawal]]),O190+CkReg16_181517[[#This Row],[Deposit]],O190-CkReg16_181517[[#This Row],[Withdrawal]])</f>
        <v>5046.4679999999898</v>
      </c>
      <c r="P191" s="376"/>
      <c r="Q191" s="457">
        <f>IF(ISBLANK(CkReg16_181517[[#This Row],[Withdrawal]]),Q190+CkReg16_181517[[#This Row],[Deposit]],Q190-CkReg16_181517[[#This Row],[Withdrawal]])</f>
        <v>13761.467999999997</v>
      </c>
      <c r="R191" s="376"/>
    </row>
    <row r="192" spans="8:18" x14ac:dyDescent="0.3">
      <c r="H192" s="286"/>
      <c r="I192" s="383"/>
      <c r="J192" s="285"/>
      <c r="K192" s="285"/>
      <c r="L192" s="285"/>
      <c r="M192" s="446"/>
      <c r="N192" s="451"/>
      <c r="O192" s="451">
        <f>IF(ISBLANK(CkReg16_181517[[#This Row],[Withdrawal]]),O191+CkReg16_181517[[#This Row],[Deposit]],O191-CkReg16_181517[[#This Row],[Withdrawal]])</f>
        <v>5046.4679999999898</v>
      </c>
      <c r="P192" s="376"/>
      <c r="Q192" s="457">
        <f>IF(ISBLANK(CkReg16_181517[[#This Row],[Withdrawal]]),Q191+CkReg16_181517[[#This Row],[Deposit]],Q191-CkReg16_181517[[#This Row],[Withdrawal]])</f>
        <v>13761.467999999997</v>
      </c>
      <c r="R192" s="376"/>
    </row>
    <row r="193" spans="8:18" x14ac:dyDescent="0.3">
      <c r="H193" s="286"/>
      <c r="I193" s="383"/>
      <c r="J193" s="285"/>
      <c r="K193" s="285"/>
      <c r="L193" s="285"/>
      <c r="M193" s="446"/>
      <c r="N193" s="451"/>
      <c r="O193" s="451">
        <f>IF(ISBLANK(CkReg16_181517[[#This Row],[Withdrawal]]),O192+CkReg16_181517[[#This Row],[Deposit]],O192-CkReg16_181517[[#This Row],[Withdrawal]])</f>
        <v>5046.4679999999898</v>
      </c>
      <c r="P193" s="376"/>
      <c r="Q193" s="457">
        <f>IF(ISBLANK(CkReg16_181517[[#This Row],[Withdrawal]]),Q192+CkReg16_181517[[#This Row],[Deposit]],Q192-CkReg16_181517[[#This Row],[Withdrawal]])</f>
        <v>13761.467999999997</v>
      </c>
      <c r="R193" s="376"/>
    </row>
    <row r="194" spans="8:18" x14ac:dyDescent="0.3">
      <c r="H194" s="286"/>
      <c r="I194" s="383"/>
      <c r="J194" s="285"/>
      <c r="K194" s="285"/>
      <c r="L194" s="285"/>
      <c r="M194" s="449"/>
      <c r="N194" s="451"/>
      <c r="O194" s="451">
        <f>IF(ISBLANK(CkReg16_181517[[#This Row],[Withdrawal]]),O193+CkReg16_181517[[#This Row],[Deposit]],O193-CkReg16_181517[[#This Row],[Withdrawal]])</f>
        <v>5046.4679999999898</v>
      </c>
      <c r="P194" s="376"/>
      <c r="Q194" s="457">
        <f>IF(ISBLANK(CkReg16_181517[[#This Row],[Withdrawal]]),Q193+CkReg16_181517[[#This Row],[Deposit]],Q193-CkReg16_181517[[#This Row],[Withdrawal]])</f>
        <v>13761.467999999997</v>
      </c>
      <c r="R194" s="376"/>
    </row>
    <row r="195" spans="8:18" x14ac:dyDescent="0.3">
      <c r="H195" s="286"/>
      <c r="I195" s="383"/>
      <c r="J195" s="285"/>
      <c r="K195" s="285"/>
      <c r="L195" s="285"/>
      <c r="M195" s="446"/>
      <c r="N195" s="451"/>
      <c r="O195" s="451">
        <f>IF(ISBLANK(CkReg16_181517[[#This Row],[Withdrawal]]),O194+CkReg16_181517[[#This Row],[Deposit]],O194-CkReg16_181517[[#This Row],[Withdrawal]])</f>
        <v>5046.4679999999898</v>
      </c>
      <c r="P195" s="376"/>
      <c r="Q195" s="457">
        <f>IF(ISBLANK(CkReg16_181517[[#This Row],[Withdrawal]]),Q194+CkReg16_181517[[#This Row],[Deposit]],Q194-CkReg16_181517[[#This Row],[Withdrawal]])</f>
        <v>13761.467999999997</v>
      </c>
      <c r="R195" s="376"/>
    </row>
    <row r="196" spans="8:18" x14ac:dyDescent="0.3">
      <c r="H196" s="286"/>
      <c r="I196" s="383"/>
      <c r="J196" s="285"/>
      <c r="K196" s="285"/>
      <c r="L196" s="285"/>
      <c r="M196" s="446"/>
      <c r="N196" s="451"/>
      <c r="O196" s="451">
        <f>IF(ISBLANK(CkReg16_181517[[#This Row],[Withdrawal]]),O195+CkReg16_181517[[#This Row],[Deposit]],O195-CkReg16_181517[[#This Row],[Withdrawal]])</f>
        <v>5046.4679999999898</v>
      </c>
      <c r="P196" s="376"/>
      <c r="Q196" s="457">
        <f>IF(ISBLANK(CkReg16_181517[[#This Row],[Withdrawal]]),Q195+CkReg16_181517[[#This Row],[Deposit]],Q195-CkReg16_181517[[#This Row],[Withdrawal]])</f>
        <v>13761.467999999997</v>
      </c>
      <c r="R196" s="376"/>
    </row>
    <row r="197" spans="8:18" x14ac:dyDescent="0.3">
      <c r="H197" s="286"/>
      <c r="I197" s="383"/>
      <c r="J197" s="285"/>
      <c r="K197" s="285"/>
      <c r="L197" s="285"/>
      <c r="M197" s="446"/>
      <c r="N197" s="451"/>
      <c r="O197" s="451">
        <f>IF(ISBLANK(CkReg16_181517[[#This Row],[Withdrawal]]),O196+CkReg16_181517[[#This Row],[Deposit]],O196-CkReg16_181517[[#This Row],[Withdrawal]])</f>
        <v>5046.4679999999898</v>
      </c>
      <c r="P197" s="376"/>
      <c r="Q197" s="457">
        <f>IF(ISBLANK(CkReg16_181517[[#This Row],[Withdrawal]]),Q196+CkReg16_181517[[#This Row],[Deposit]],Q196-CkReg16_181517[[#This Row],[Withdrawal]])</f>
        <v>13761.467999999997</v>
      </c>
      <c r="R197" s="376"/>
    </row>
    <row r="198" spans="8:18" x14ac:dyDescent="0.3">
      <c r="H198" s="286"/>
      <c r="I198" s="383"/>
      <c r="J198" s="285"/>
      <c r="K198" s="285"/>
      <c r="L198" s="285"/>
      <c r="M198" s="446"/>
      <c r="N198" s="451"/>
      <c r="O198" s="451">
        <f>IF(ISBLANK(CkReg16_181517[[#This Row],[Withdrawal]]),O197+CkReg16_181517[[#This Row],[Deposit]],O197-CkReg16_181517[[#This Row],[Withdrawal]])</f>
        <v>5046.4679999999898</v>
      </c>
      <c r="P198" s="376"/>
      <c r="Q198" s="457">
        <f>IF(ISBLANK(CkReg16_181517[[#This Row],[Withdrawal]]),Q197+CkReg16_181517[[#This Row],[Deposit]],Q197-CkReg16_181517[[#This Row],[Withdrawal]])</f>
        <v>13761.467999999997</v>
      </c>
      <c r="R198" s="376"/>
    </row>
    <row r="199" spans="8:18" x14ac:dyDescent="0.3">
      <c r="H199" s="398"/>
      <c r="I199" s="383"/>
      <c r="J199" s="285"/>
      <c r="K199" s="285"/>
      <c r="L199" s="285"/>
      <c r="M199" s="446"/>
      <c r="N199" s="451"/>
      <c r="O199" s="451">
        <f>IF(ISBLANK(CkReg16_181517[[#This Row],[Withdrawal]]),O198+CkReg16_181517[[#This Row],[Deposit]],O198-CkReg16_181517[[#This Row],[Withdrawal]])</f>
        <v>5046.4679999999898</v>
      </c>
      <c r="P199" s="376"/>
      <c r="Q199" s="457">
        <f>IF(ISBLANK(CkReg16_181517[[#This Row],[Withdrawal]]),Q198+CkReg16_181517[[#This Row],[Deposit]],Q198-CkReg16_181517[[#This Row],[Withdrawal]])</f>
        <v>13761.467999999997</v>
      </c>
      <c r="R199" s="376"/>
    </row>
    <row r="200" spans="8:18" x14ac:dyDescent="0.3">
      <c r="H200" s="398"/>
      <c r="I200" s="383"/>
      <c r="J200" s="285"/>
      <c r="K200" s="285"/>
      <c r="L200" s="285"/>
      <c r="M200" s="446"/>
      <c r="N200" s="451"/>
      <c r="O200" s="451">
        <f>IF(ISBLANK(CkReg16_181517[[#This Row],[Withdrawal]]),O199+CkReg16_181517[[#This Row],[Deposit]],O199-CkReg16_181517[[#This Row],[Withdrawal]])</f>
        <v>5046.4679999999898</v>
      </c>
      <c r="P200" s="376"/>
      <c r="Q200" s="457">
        <f>IF(ISBLANK(CkReg16_181517[[#This Row],[Withdrawal]]),Q199+CkReg16_181517[[#This Row],[Deposit]],Q199-CkReg16_181517[[#This Row],[Withdrawal]])</f>
        <v>13761.467999999997</v>
      </c>
      <c r="R200" s="376"/>
    </row>
    <row r="201" spans="8:18" x14ac:dyDescent="0.3">
      <c r="H201" s="286"/>
      <c r="I201" s="383"/>
      <c r="J201" s="285"/>
      <c r="K201" s="285"/>
      <c r="L201" s="285"/>
      <c r="M201" s="446"/>
      <c r="N201" s="451"/>
      <c r="O201" s="451">
        <f>IF(ISBLANK(CkReg16_181517[[#This Row],[Withdrawal]]),O200+CkReg16_181517[[#This Row],[Deposit]],O200-CkReg16_181517[[#This Row],[Withdrawal]])</f>
        <v>5046.4679999999898</v>
      </c>
      <c r="P201" s="376"/>
      <c r="Q201" s="457">
        <f>IF(ISBLANK(CkReg16_181517[[#This Row],[Withdrawal]]),Q200+CkReg16_181517[[#This Row],[Deposit]],Q200-CkReg16_181517[[#This Row],[Withdrawal]])</f>
        <v>13761.467999999997</v>
      </c>
      <c r="R201" s="376"/>
    </row>
    <row r="202" spans="8:18" x14ac:dyDescent="0.3">
      <c r="H202" s="286"/>
      <c r="I202" s="383"/>
      <c r="J202" s="285"/>
      <c r="K202" s="285"/>
      <c r="L202" s="285"/>
      <c r="M202" s="446"/>
      <c r="N202" s="451"/>
      <c r="O202" s="451">
        <f>IF(ISBLANK(CkReg16_181517[[#This Row],[Withdrawal]]),O201+CkReg16_181517[[#This Row],[Deposit]],O201-CkReg16_181517[[#This Row],[Withdrawal]])</f>
        <v>5046.4679999999898</v>
      </c>
      <c r="P202" s="376"/>
      <c r="Q202" s="457">
        <f>IF(ISBLANK(CkReg16_181517[[#This Row],[Withdrawal]]),Q201+CkReg16_181517[[#This Row],[Deposit]],Q201-CkReg16_181517[[#This Row],[Withdrawal]])</f>
        <v>13761.467999999997</v>
      </c>
      <c r="R202" s="376"/>
    </row>
    <row r="203" spans="8:18" x14ac:dyDescent="0.3">
      <c r="H203" s="286"/>
      <c r="I203" s="383"/>
      <c r="J203" s="285"/>
      <c r="K203" s="285"/>
      <c r="L203" s="285"/>
      <c r="M203" s="446"/>
      <c r="N203" s="451"/>
      <c r="O203" s="451">
        <f>IF(ISBLANK(CkReg16_181517[[#This Row],[Withdrawal]]),O202+CkReg16_181517[[#This Row],[Deposit]],O202-CkReg16_181517[[#This Row],[Withdrawal]])</f>
        <v>5046.4679999999898</v>
      </c>
      <c r="P203" s="376"/>
      <c r="Q203" s="457">
        <f>IF(ISBLANK(CkReg16_181517[[#This Row],[Withdrawal]]),Q202+CkReg16_181517[[#This Row],[Deposit]],Q202-CkReg16_181517[[#This Row],[Withdrawal]])</f>
        <v>13761.467999999997</v>
      </c>
      <c r="R203" s="376"/>
    </row>
    <row r="204" spans="8:18" x14ac:dyDescent="0.3">
      <c r="H204" s="286"/>
      <c r="I204" s="383"/>
      <c r="J204" s="285"/>
      <c r="K204" s="285"/>
      <c r="L204" s="285"/>
      <c r="M204" s="446"/>
      <c r="N204" s="451"/>
      <c r="O204" s="451">
        <f>IF(ISBLANK(CkReg16_181517[[#This Row],[Withdrawal]]),O203+CkReg16_181517[[#This Row],[Deposit]],O203-CkReg16_181517[[#This Row],[Withdrawal]])</f>
        <v>5046.4679999999898</v>
      </c>
      <c r="P204" s="376"/>
      <c r="Q204" s="457">
        <f>IF(ISBLANK(CkReg16_181517[[#This Row],[Withdrawal]]),Q203+CkReg16_181517[[#This Row],[Deposit]],Q203-CkReg16_181517[[#This Row],[Withdrawal]])</f>
        <v>13761.467999999997</v>
      </c>
      <c r="R204" s="376"/>
    </row>
    <row r="205" spans="8:18" x14ac:dyDescent="0.3">
      <c r="H205" s="286"/>
      <c r="I205" s="383"/>
      <c r="J205" s="285"/>
      <c r="K205" s="285"/>
      <c r="L205" s="285"/>
      <c r="M205" s="446"/>
      <c r="N205" s="451"/>
      <c r="O205" s="451">
        <f>IF(ISBLANK(CkReg16_181517[[#This Row],[Withdrawal]]),O204+CkReg16_181517[[#This Row],[Deposit]],O204-CkReg16_181517[[#This Row],[Withdrawal]])</f>
        <v>5046.4679999999898</v>
      </c>
      <c r="P205" s="376"/>
      <c r="Q205" s="457">
        <f>IF(ISBLANK(CkReg16_181517[[#This Row],[Withdrawal]]),Q204+CkReg16_181517[[#This Row],[Deposit]],Q204-CkReg16_181517[[#This Row],[Withdrawal]])</f>
        <v>13761.467999999997</v>
      </c>
      <c r="R205" s="376"/>
    </row>
    <row r="206" spans="8:18" x14ac:dyDescent="0.3">
      <c r="H206" s="398"/>
      <c r="I206" s="459"/>
      <c r="J206" s="460"/>
      <c r="K206" s="460"/>
      <c r="L206" s="460"/>
      <c r="M206" s="461"/>
      <c r="N206" s="462">
        <f>+'Check Register 2015'!M376</f>
        <v>0</v>
      </c>
      <c r="O206" s="451">
        <f>IF(ISBLANK(CkReg16_181517[[#This Row],[Withdrawal]]),O205+CkReg16_181517[[#This Row],[Deposit]],O205-CkReg16_181517[[#This Row],[Withdrawal]])</f>
        <v>5046.4679999999898</v>
      </c>
      <c r="P206" s="463"/>
      <c r="Q206" s="457">
        <f>IF(ISBLANK(CkReg16_181517[[#This Row],[Withdrawal]]),Q205+CkReg16_181517[[#This Row],[Deposit]],Q205-CkReg16_181517[[#This Row],[Withdrawal]])</f>
        <v>13761.467999999997</v>
      </c>
      <c r="R206" s="463"/>
    </row>
    <row r="207" spans="8:18" x14ac:dyDescent="0.3">
      <c r="H207" s="389"/>
      <c r="I207" s="442"/>
      <c r="J207" s="238"/>
      <c r="K207" s="238"/>
      <c r="L207" s="238"/>
      <c r="M207" s="275">
        <f>SUBTOTAL(109,CkReg16_181517[Withdrawal])</f>
        <v>31438.040000000015</v>
      </c>
      <c r="N207" s="275">
        <f>SUBTOTAL(109,CkReg16_181517[Deposit])</f>
        <v>36484.507999999994</v>
      </c>
      <c r="O207" s="275">
        <f>CkReg16_181517[[#Totals],[Deposit]]-CkReg16_181517[[#Totals],[Withdrawal]]</f>
        <v>5046.4679999999789</v>
      </c>
      <c r="P207" s="439"/>
      <c r="Q207" s="393"/>
      <c r="R207" s="439"/>
    </row>
    <row r="208" spans="8:18" x14ac:dyDescent="0.3">
      <c r="M208" s="100"/>
    </row>
    <row r="209" spans="13:18" x14ac:dyDescent="0.3">
      <c r="M209" s="100"/>
    </row>
    <row r="210" spans="13:18" x14ac:dyDescent="0.3">
      <c r="M210" s="100"/>
      <c r="P210" s="441"/>
    </row>
    <row r="211" spans="13:18" x14ac:dyDescent="0.3">
      <c r="P211" s="441"/>
    </row>
    <row r="212" spans="13:18" x14ac:dyDescent="0.3">
      <c r="P212" s="441"/>
      <c r="R212" s="441"/>
    </row>
    <row r="213" spans="13:18" x14ac:dyDescent="0.3">
      <c r="P213" s="441"/>
      <c r="R213" s="441"/>
    </row>
    <row r="214" spans="13:18" x14ac:dyDescent="0.3">
      <c r="P214" s="441"/>
    </row>
    <row r="215" spans="13:18" x14ac:dyDescent="0.3">
      <c r="P215" s="441"/>
    </row>
    <row r="216" spans="13:18" x14ac:dyDescent="0.3">
      <c r="P216" s="441"/>
    </row>
    <row r="217" spans="13:18" x14ac:dyDescent="0.3">
      <c r="P217" s="441"/>
    </row>
    <row r="218" spans="13:18" x14ac:dyDescent="0.3">
      <c r="P218" s="441"/>
    </row>
    <row r="219" spans="13:18" x14ac:dyDescent="0.3">
      <c r="P219" s="441"/>
    </row>
    <row r="220" spans="13:18" x14ac:dyDescent="0.3">
      <c r="P220" s="441"/>
    </row>
    <row r="496" spans="8:13" x14ac:dyDescent="0.3">
      <c r="H496" s="96"/>
      <c r="J496" s="96"/>
      <c r="K496" s="96"/>
      <c r="L496" s="96"/>
      <c r="M496" s="96"/>
    </row>
  </sheetData>
  <mergeCells count="1">
    <mergeCell ref="B69:F73"/>
  </mergeCells>
  <conditionalFormatting sqref="N3:O4 N5:N6 N29:N30 N34:N40 N13:N27 O5:O206">
    <cfRule type="expression" dxfId="62" priority="7">
      <formula>N3&lt;0</formula>
    </cfRule>
  </conditionalFormatting>
  <conditionalFormatting sqref="F18:F66 C66:E66">
    <cfRule type="cellIs" dxfId="61" priority="6" operator="lessThan">
      <formula>0</formula>
    </cfRule>
  </conditionalFormatting>
  <conditionalFormatting sqref="P8:P9">
    <cfRule type="expression" dxfId="60" priority="4">
      <formula>P8&lt;0</formula>
    </cfRule>
  </conditionalFormatting>
  <conditionalFormatting sqref="N28">
    <cfRule type="expression" dxfId="59" priority="3">
      <formula>N28&lt;0</formula>
    </cfRule>
  </conditionalFormatting>
  <conditionalFormatting sqref="N52:N53">
    <cfRule type="expression" dxfId="58" priority="2">
      <formula>N52&lt;0</formula>
    </cfRule>
  </conditionalFormatting>
  <conditionalFormatting sqref="N10:N12">
    <cfRule type="expression" dxfId="57" priority="1">
      <formula>N10&lt;0</formula>
    </cfRule>
  </conditionalFormatting>
  <dataValidations count="1">
    <dataValidation type="list" allowBlank="1" showInputMessage="1" showErrorMessage="1" sqref="K8 L3:L204" xr:uid="{00000000-0002-0000-0100-000000000000}">
      <formula1>Category</formula1>
    </dataValidation>
  </dataValidations>
  <printOptions horizontalCentered="1"/>
  <pageMargins left="0.25" right="0.25" top="0.25" bottom="0.25" header="0.3" footer="0.3"/>
  <pageSetup scale="91" orientation="portrait" r:id="rId1"/>
  <ignoredErrors>
    <ignoredError sqref="N67" calculatedColumn="1"/>
  </ignoredErrors>
  <drawing r:id="rId2"/>
  <tableParts count="2">
    <tablePart r:id="rId3"/>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pageSetUpPr fitToPage="1"/>
  </sheetPr>
  <dimension ref="B1:CT500"/>
  <sheetViews>
    <sheetView showGridLines="0" showRuler="0" topLeftCell="A30" zoomScaleNormal="100" workbookViewId="0">
      <selection activeCell="O120" sqref="G119:O120"/>
    </sheetView>
  </sheetViews>
  <sheetFormatPr defaultColWidth="9.109375" defaultRowHeight="14.4" x14ac:dyDescent="0.3"/>
  <cols>
    <col min="1" max="1" width="5.44140625" style="395" customWidth="1"/>
    <col min="2" max="2" width="26.44140625" style="395" customWidth="1"/>
    <col min="3" max="5" width="13.33203125" style="395" customWidth="1"/>
    <col min="6" max="6" width="3" style="395" customWidth="1"/>
    <col min="7" max="7" width="11" style="401" customWidth="1"/>
    <col min="8" max="8" width="11" style="399" customWidth="1"/>
    <col min="9" max="9" width="20.33203125" style="87" customWidth="1"/>
    <col min="10" max="10" width="25.88671875" style="87" bestFit="1" customWidth="1"/>
    <col min="11" max="11" width="22.6640625" style="401" bestFit="1" customWidth="1"/>
    <col min="12" max="14" width="11" style="401" customWidth="1"/>
    <col min="15" max="15" width="11" style="182" customWidth="1"/>
    <col min="16" max="16" width="11" style="191" customWidth="1"/>
    <col min="17" max="17" width="10.33203125" style="182" customWidth="1"/>
    <col min="18" max="98" width="9.109375" style="96"/>
    <col min="99" max="16384" width="9.109375" style="395"/>
  </cols>
  <sheetData>
    <row r="1" spans="2:98" s="175" customFormat="1" ht="23.4" x14ac:dyDescent="0.45">
      <c r="C1" s="176"/>
      <c r="D1" s="176"/>
      <c r="E1" s="176"/>
      <c r="F1" s="176"/>
      <c r="G1" s="298" t="s">
        <v>733</v>
      </c>
      <c r="H1" s="299"/>
      <c r="I1" s="298"/>
      <c r="J1" s="298"/>
      <c r="K1" s="300"/>
      <c r="L1" s="300" t="s">
        <v>440</v>
      </c>
      <c r="M1" s="394">
        <f ca="1">NOW()</f>
        <v>44534.888377546296</v>
      </c>
      <c r="N1" s="300"/>
      <c r="O1" s="301"/>
      <c r="P1" s="302"/>
      <c r="Q1" s="301"/>
    </row>
    <row r="2" spans="2:98" ht="27.6" x14ac:dyDescent="0.4">
      <c r="B2" s="88"/>
      <c r="C2" s="88"/>
      <c r="D2" s="88"/>
      <c r="E2" s="88"/>
      <c r="F2" s="88"/>
      <c r="G2" s="303" t="s">
        <v>12</v>
      </c>
      <c r="H2" s="304" t="s">
        <v>1</v>
      </c>
      <c r="I2" s="303" t="s">
        <v>409</v>
      </c>
      <c r="J2" s="303" t="s">
        <v>2</v>
      </c>
      <c r="K2" s="303" t="s">
        <v>4</v>
      </c>
      <c r="L2" s="303" t="s">
        <v>21</v>
      </c>
      <c r="M2" s="303" t="s">
        <v>11</v>
      </c>
      <c r="N2" s="305" t="s">
        <v>407</v>
      </c>
      <c r="O2" s="304" t="s">
        <v>406</v>
      </c>
      <c r="P2" s="306" t="s">
        <v>408</v>
      </c>
      <c r="Q2" s="304" t="s">
        <v>625</v>
      </c>
      <c r="R2" s="395"/>
      <c r="S2" s="395"/>
      <c r="T2" s="395"/>
      <c r="U2" s="395"/>
      <c r="V2" s="395"/>
      <c r="W2" s="395"/>
      <c r="X2" s="395"/>
      <c r="Y2" s="395"/>
      <c r="Z2" s="395"/>
      <c r="AA2" s="395"/>
      <c r="AB2" s="395"/>
      <c r="AC2" s="395"/>
      <c r="AD2" s="395"/>
      <c r="AE2" s="395"/>
      <c r="AF2" s="395"/>
      <c r="AG2" s="395"/>
      <c r="AH2" s="395"/>
      <c r="AI2" s="395"/>
      <c r="AJ2" s="395"/>
      <c r="AK2" s="395"/>
      <c r="AL2" s="395"/>
      <c r="AM2" s="395"/>
      <c r="AN2" s="395"/>
      <c r="AO2" s="395"/>
      <c r="AP2" s="395"/>
      <c r="AQ2" s="395"/>
      <c r="AR2" s="395"/>
      <c r="AS2" s="395"/>
      <c r="AT2" s="395"/>
      <c r="AU2" s="395"/>
      <c r="AV2" s="395"/>
      <c r="AW2" s="395"/>
      <c r="AX2" s="395"/>
      <c r="AY2" s="395"/>
      <c r="AZ2" s="395"/>
      <c r="BA2" s="395"/>
      <c r="BB2" s="395"/>
      <c r="BC2" s="395"/>
      <c r="BD2" s="395"/>
      <c r="BE2" s="395"/>
      <c r="BF2" s="395"/>
      <c r="BG2" s="395"/>
      <c r="BH2" s="395"/>
      <c r="BI2" s="395"/>
      <c r="BJ2" s="395"/>
      <c r="BK2" s="395"/>
      <c r="BL2" s="395"/>
      <c r="BM2" s="395"/>
      <c r="BN2" s="395"/>
      <c r="BO2" s="395"/>
      <c r="BP2" s="395"/>
      <c r="BQ2" s="395"/>
      <c r="BR2" s="395"/>
      <c r="BS2" s="395"/>
      <c r="BT2" s="395"/>
      <c r="BU2" s="395"/>
      <c r="BV2" s="395"/>
      <c r="BW2" s="395"/>
      <c r="BX2" s="395"/>
      <c r="BY2" s="395"/>
      <c r="BZ2" s="395"/>
      <c r="CA2" s="395"/>
      <c r="CB2" s="395"/>
      <c r="CC2" s="395"/>
      <c r="CD2" s="395"/>
      <c r="CE2" s="395"/>
      <c r="CF2" s="395"/>
      <c r="CG2" s="395"/>
      <c r="CH2" s="395"/>
      <c r="CI2" s="395"/>
      <c r="CJ2" s="395"/>
      <c r="CK2" s="395"/>
      <c r="CL2" s="395"/>
      <c r="CM2" s="395"/>
      <c r="CN2" s="395"/>
      <c r="CO2" s="395"/>
      <c r="CP2" s="395"/>
      <c r="CQ2" s="395"/>
      <c r="CR2" s="395"/>
      <c r="CS2" s="395"/>
      <c r="CT2" s="395"/>
    </row>
    <row r="3" spans="2:98" ht="14.4" customHeight="1" x14ac:dyDescent="0.4">
      <c r="B3" s="88"/>
      <c r="C3" s="88"/>
      <c r="D3" s="88"/>
      <c r="E3" s="88"/>
      <c r="F3" s="88"/>
      <c r="G3" s="286"/>
      <c r="H3" s="370">
        <v>43070</v>
      </c>
      <c r="I3" s="285" t="s">
        <v>5</v>
      </c>
      <c r="J3" s="285"/>
      <c r="K3" s="285" t="s">
        <v>5</v>
      </c>
      <c r="L3" s="371"/>
      <c r="M3" s="371">
        <v>12033.208000000001</v>
      </c>
      <c r="N3" s="371">
        <v>12033.208000000001</v>
      </c>
      <c r="O3" s="372"/>
      <c r="P3" s="373">
        <v>12033.208000000001</v>
      </c>
      <c r="Q3" s="375"/>
      <c r="R3" s="395"/>
      <c r="S3" s="395"/>
      <c r="T3" s="395"/>
      <c r="U3" s="395"/>
      <c r="V3" s="395"/>
      <c r="W3" s="395"/>
      <c r="X3" s="395"/>
      <c r="Y3" s="395"/>
      <c r="Z3" s="395"/>
      <c r="AA3" s="395"/>
      <c r="AB3" s="395"/>
      <c r="AC3" s="395"/>
      <c r="AD3" s="395"/>
      <c r="AE3" s="395"/>
      <c r="AF3" s="395"/>
      <c r="AG3" s="395"/>
      <c r="AH3" s="395"/>
      <c r="AI3" s="395"/>
      <c r="AJ3" s="395"/>
      <c r="AK3" s="395"/>
      <c r="AL3" s="395"/>
      <c r="AM3" s="395"/>
      <c r="AN3" s="395"/>
      <c r="AO3" s="395"/>
      <c r="AP3" s="395"/>
      <c r="AQ3" s="395"/>
      <c r="AR3" s="395"/>
      <c r="AS3" s="395"/>
      <c r="AT3" s="395"/>
      <c r="AU3" s="395"/>
      <c r="AV3" s="395"/>
      <c r="AW3" s="395"/>
      <c r="AX3" s="395"/>
      <c r="AY3" s="395"/>
      <c r="AZ3" s="395"/>
      <c r="BA3" s="395"/>
      <c r="BB3" s="395"/>
      <c r="BC3" s="395"/>
      <c r="BD3" s="395"/>
      <c r="BE3" s="395"/>
      <c r="BF3" s="395"/>
      <c r="BG3" s="395"/>
      <c r="BH3" s="395"/>
      <c r="BI3" s="395"/>
      <c r="BJ3" s="395"/>
      <c r="BK3" s="395"/>
      <c r="BL3" s="395"/>
      <c r="BM3" s="395"/>
      <c r="BN3" s="395"/>
      <c r="BO3" s="395"/>
      <c r="BP3" s="395"/>
      <c r="BQ3" s="395"/>
      <c r="BR3" s="395"/>
      <c r="BS3" s="395"/>
      <c r="BT3" s="395"/>
      <c r="BU3" s="395"/>
      <c r="BV3" s="395"/>
      <c r="BW3" s="395"/>
      <c r="BX3" s="395"/>
      <c r="BY3" s="395"/>
      <c r="BZ3" s="395"/>
      <c r="CA3" s="395"/>
      <c r="CB3" s="395"/>
      <c r="CC3" s="395"/>
      <c r="CD3" s="395"/>
      <c r="CE3" s="395"/>
      <c r="CF3" s="395"/>
      <c r="CG3" s="395"/>
      <c r="CH3" s="395"/>
      <c r="CI3" s="395"/>
      <c r="CJ3" s="395"/>
      <c r="CK3" s="395"/>
      <c r="CL3" s="395"/>
      <c r="CM3" s="395"/>
      <c r="CN3" s="395"/>
      <c r="CO3" s="395"/>
      <c r="CP3" s="395"/>
      <c r="CQ3" s="395"/>
      <c r="CR3" s="395"/>
      <c r="CS3" s="395"/>
      <c r="CT3" s="395"/>
    </row>
    <row r="4" spans="2:98" ht="14.4" customHeight="1" x14ac:dyDescent="0.4">
      <c r="B4" s="88"/>
      <c r="C4" s="88"/>
      <c r="D4" s="88"/>
      <c r="E4" s="88"/>
      <c r="F4" s="88"/>
      <c r="G4" s="286"/>
      <c r="H4" s="370">
        <v>43070</v>
      </c>
      <c r="I4" s="285" t="s">
        <v>55</v>
      </c>
      <c r="J4" s="285"/>
      <c r="K4" s="285" t="s">
        <v>55</v>
      </c>
      <c r="L4" s="371">
        <v>3000</v>
      </c>
      <c r="M4" s="374"/>
      <c r="N4" s="371">
        <f>IF(ISBLANK(CkReg16_181519[[#This Row],[Withdrawal]]),N3+CkReg16_181519[[#This Row],[Deposit]],N3-CkReg16_181519[[#This Row],[Withdrawal]])</f>
        <v>9033.2080000000005</v>
      </c>
      <c r="O4" s="374">
        <v>43070</v>
      </c>
      <c r="P4" s="373">
        <v>12033.208000000001</v>
      </c>
      <c r="Q4" s="375"/>
      <c r="R4" s="395"/>
      <c r="S4" s="395"/>
      <c r="T4" s="395"/>
      <c r="U4" s="395"/>
      <c r="V4" s="395"/>
      <c r="W4" s="395"/>
      <c r="X4" s="395"/>
      <c r="Y4" s="395"/>
      <c r="Z4" s="395"/>
      <c r="AA4" s="395"/>
      <c r="AB4" s="395"/>
      <c r="AC4" s="395"/>
      <c r="AD4" s="395"/>
      <c r="AE4" s="395"/>
      <c r="AF4" s="395"/>
      <c r="AG4" s="395"/>
      <c r="AH4" s="395"/>
      <c r="AI4" s="395"/>
      <c r="AJ4" s="395"/>
      <c r="AK4" s="395"/>
      <c r="AL4" s="395"/>
      <c r="AM4" s="395"/>
      <c r="AN4" s="395"/>
      <c r="AO4" s="395"/>
      <c r="AP4" s="395"/>
      <c r="AQ4" s="395"/>
      <c r="AR4" s="395"/>
      <c r="AS4" s="395"/>
      <c r="AT4" s="395"/>
      <c r="AU4" s="395"/>
      <c r="AV4" s="395"/>
      <c r="AW4" s="395"/>
      <c r="AX4" s="395"/>
      <c r="AY4" s="395"/>
      <c r="AZ4" s="395"/>
      <c r="BA4" s="395"/>
      <c r="BB4" s="395"/>
      <c r="BC4" s="395"/>
      <c r="BD4" s="395"/>
      <c r="BE4" s="395"/>
      <c r="BF4" s="395"/>
      <c r="BG4" s="395"/>
      <c r="BH4" s="395"/>
      <c r="BI4" s="395"/>
      <c r="BJ4" s="395"/>
      <c r="BK4" s="395"/>
      <c r="BL4" s="395"/>
      <c r="BM4" s="395"/>
      <c r="BN4" s="395"/>
      <c r="BO4" s="395"/>
      <c r="BP4" s="395"/>
      <c r="BQ4" s="395"/>
      <c r="BR4" s="395"/>
      <c r="BS4" s="395"/>
      <c r="BT4" s="395"/>
      <c r="BU4" s="395"/>
      <c r="BV4" s="395"/>
      <c r="BW4" s="395"/>
      <c r="BX4" s="395"/>
      <c r="BY4" s="395"/>
      <c r="BZ4" s="395"/>
      <c r="CA4" s="395"/>
      <c r="CB4" s="395"/>
      <c r="CC4" s="395"/>
      <c r="CD4" s="395"/>
      <c r="CE4" s="395"/>
      <c r="CF4" s="395"/>
      <c r="CG4" s="395"/>
      <c r="CH4" s="395"/>
      <c r="CI4" s="395"/>
      <c r="CJ4" s="395"/>
      <c r="CK4" s="395"/>
      <c r="CL4" s="395"/>
      <c r="CM4" s="395"/>
      <c r="CN4" s="395"/>
      <c r="CO4" s="395"/>
      <c r="CP4" s="395"/>
      <c r="CQ4" s="395"/>
      <c r="CR4" s="395"/>
      <c r="CS4" s="395"/>
      <c r="CT4" s="395"/>
    </row>
    <row r="5" spans="2:98" ht="14.4" customHeight="1" x14ac:dyDescent="0.4">
      <c r="B5" s="88"/>
      <c r="C5" s="88"/>
      <c r="D5" s="88"/>
      <c r="E5" s="88"/>
      <c r="F5" s="88"/>
      <c r="G5" s="286"/>
      <c r="H5" s="370">
        <v>43070</v>
      </c>
      <c r="I5" s="285" t="s">
        <v>56</v>
      </c>
      <c r="J5" s="285"/>
      <c r="K5" s="285" t="s">
        <v>56</v>
      </c>
      <c r="L5" s="371">
        <v>4000</v>
      </c>
      <c r="M5" s="374"/>
      <c r="N5" s="371">
        <f>IF(ISBLANK(CkReg16_181519[[#This Row],[Withdrawal]]),N4+CkReg16_181519[[#This Row],[Deposit]],N4-CkReg16_181519[[#This Row],[Withdrawal]])</f>
        <v>5033.2080000000005</v>
      </c>
      <c r="O5" s="374">
        <v>43070</v>
      </c>
      <c r="P5" s="373">
        <v>12033.208000000001</v>
      </c>
      <c r="Q5" s="375"/>
      <c r="R5" s="395"/>
      <c r="S5" s="395"/>
      <c r="T5" s="395"/>
      <c r="U5" s="395"/>
      <c r="V5" s="395"/>
      <c r="W5" s="395"/>
      <c r="X5" s="395"/>
      <c r="Y5" s="395"/>
      <c r="Z5" s="395"/>
      <c r="AA5" s="395"/>
      <c r="AB5" s="395"/>
      <c r="AC5" s="395"/>
      <c r="AD5" s="395"/>
      <c r="AE5" s="395"/>
      <c r="AF5" s="395"/>
      <c r="AG5" s="395"/>
      <c r="AH5" s="395"/>
      <c r="AI5" s="395"/>
      <c r="AJ5" s="395"/>
      <c r="AK5" s="395"/>
      <c r="AL5" s="395"/>
      <c r="AM5" s="395"/>
      <c r="AN5" s="395"/>
      <c r="AO5" s="395"/>
      <c r="AP5" s="395"/>
      <c r="AQ5" s="395"/>
      <c r="AR5" s="395"/>
      <c r="AS5" s="395"/>
      <c r="AT5" s="395"/>
      <c r="AU5" s="395"/>
      <c r="AV5" s="395"/>
      <c r="AW5" s="395"/>
      <c r="AX5" s="395"/>
      <c r="AY5" s="395"/>
      <c r="AZ5" s="395"/>
      <c r="BA5" s="395"/>
      <c r="BB5" s="395"/>
      <c r="BC5" s="395"/>
      <c r="BD5" s="395"/>
      <c r="BE5" s="395"/>
      <c r="BF5" s="395"/>
      <c r="BG5" s="395"/>
      <c r="BH5" s="395"/>
      <c r="BI5" s="395"/>
      <c r="BJ5" s="395"/>
      <c r="BK5" s="395"/>
      <c r="BL5" s="395"/>
      <c r="BM5" s="395"/>
      <c r="BN5" s="395"/>
      <c r="BO5" s="395"/>
      <c r="BP5" s="395"/>
      <c r="BQ5" s="395"/>
      <c r="BR5" s="395"/>
      <c r="BS5" s="395"/>
      <c r="BT5" s="395"/>
      <c r="BU5" s="395"/>
      <c r="BV5" s="395"/>
      <c r="BW5" s="395"/>
      <c r="BX5" s="395"/>
      <c r="BY5" s="395"/>
      <c r="BZ5" s="395"/>
      <c r="CA5" s="395"/>
      <c r="CB5" s="395"/>
      <c r="CC5" s="395"/>
      <c r="CD5" s="395"/>
      <c r="CE5" s="395"/>
      <c r="CF5" s="395"/>
      <c r="CG5" s="395"/>
      <c r="CH5" s="395"/>
      <c r="CI5" s="395"/>
      <c r="CJ5" s="395"/>
      <c r="CK5" s="395"/>
      <c r="CL5" s="395"/>
      <c r="CM5" s="395"/>
      <c r="CN5" s="395"/>
      <c r="CO5" s="395"/>
      <c r="CP5" s="395"/>
      <c r="CQ5" s="395"/>
      <c r="CR5" s="395"/>
      <c r="CS5" s="395"/>
      <c r="CT5" s="395"/>
    </row>
    <row r="6" spans="2:98" ht="14.4" customHeight="1" x14ac:dyDescent="0.4">
      <c r="B6" s="88"/>
      <c r="C6" s="88"/>
      <c r="D6" s="88"/>
      <c r="E6" s="88"/>
      <c r="F6" s="88"/>
      <c r="G6" s="286"/>
      <c r="H6" s="370">
        <v>43070</v>
      </c>
      <c r="I6" s="285" t="s">
        <v>391</v>
      </c>
      <c r="J6" s="285"/>
      <c r="K6" s="285" t="s">
        <v>703</v>
      </c>
      <c r="L6" s="371">
        <v>1715</v>
      </c>
      <c r="M6" s="374"/>
      <c r="N6" s="371">
        <f>IF(ISBLANK(CkReg16_181519[[#This Row],[Withdrawal]]),N5+CkReg16_181519[[#This Row],[Deposit]],N5-CkReg16_181519[[#This Row],[Withdrawal]])</f>
        <v>3318.2080000000005</v>
      </c>
      <c r="O6" s="374">
        <v>43070</v>
      </c>
      <c r="P6" s="373">
        <v>12033.208000000001</v>
      </c>
      <c r="Q6" s="375"/>
      <c r="R6" s="395"/>
      <c r="S6" s="395"/>
      <c r="T6" s="395"/>
      <c r="U6" s="395"/>
      <c r="V6" s="395"/>
      <c r="W6" s="395"/>
      <c r="X6" s="395"/>
      <c r="Y6" s="395"/>
      <c r="Z6" s="395"/>
      <c r="AA6" s="395"/>
      <c r="AB6" s="395"/>
      <c r="AC6" s="395"/>
      <c r="AD6" s="395"/>
      <c r="AE6" s="395"/>
      <c r="AF6" s="395"/>
      <c r="AG6" s="395"/>
      <c r="AH6" s="395"/>
      <c r="AI6" s="395"/>
      <c r="AJ6" s="395"/>
      <c r="AK6" s="395"/>
      <c r="AL6" s="395"/>
      <c r="AM6" s="395"/>
      <c r="AN6" s="395"/>
      <c r="AO6" s="395"/>
      <c r="AP6" s="395"/>
      <c r="AQ6" s="395"/>
      <c r="AR6" s="395"/>
      <c r="AS6" s="395"/>
      <c r="AT6" s="395"/>
      <c r="AU6" s="395"/>
      <c r="AV6" s="395"/>
      <c r="AW6" s="395"/>
      <c r="AX6" s="395"/>
      <c r="AY6" s="395"/>
      <c r="AZ6" s="395"/>
      <c r="BA6" s="395"/>
      <c r="BB6" s="395"/>
      <c r="BC6" s="395"/>
      <c r="BD6" s="395"/>
      <c r="BE6" s="395"/>
      <c r="BF6" s="395"/>
      <c r="BG6" s="395"/>
      <c r="BH6" s="395"/>
      <c r="BI6" s="395"/>
      <c r="BJ6" s="395"/>
      <c r="BK6" s="395"/>
      <c r="BL6" s="395"/>
      <c r="BM6" s="395"/>
      <c r="BN6" s="395"/>
      <c r="BO6" s="395"/>
      <c r="BP6" s="395"/>
      <c r="BQ6" s="395"/>
      <c r="BR6" s="395"/>
      <c r="BS6" s="395"/>
      <c r="BT6" s="395"/>
      <c r="BU6" s="395"/>
      <c r="BV6" s="395"/>
      <c r="BW6" s="395"/>
      <c r="BX6" s="395"/>
      <c r="BY6" s="395"/>
      <c r="BZ6" s="395"/>
      <c r="CA6" s="395"/>
      <c r="CB6" s="395"/>
      <c r="CC6" s="395"/>
      <c r="CD6" s="395"/>
      <c r="CE6" s="395"/>
      <c r="CF6" s="395"/>
      <c r="CG6" s="395"/>
      <c r="CH6" s="395"/>
      <c r="CI6" s="395"/>
      <c r="CJ6" s="395"/>
      <c r="CK6" s="395"/>
      <c r="CL6" s="395"/>
      <c r="CM6" s="395"/>
      <c r="CN6" s="395"/>
      <c r="CO6" s="395"/>
      <c r="CP6" s="395"/>
      <c r="CQ6" s="395"/>
      <c r="CR6" s="395"/>
      <c r="CS6" s="395"/>
      <c r="CT6" s="395"/>
    </row>
    <row r="7" spans="2:98" ht="14.4" customHeight="1" x14ac:dyDescent="0.4">
      <c r="B7" s="88"/>
      <c r="C7" s="88"/>
      <c r="D7" s="88"/>
      <c r="E7" s="88"/>
      <c r="F7" s="88"/>
      <c r="G7" s="286">
        <v>3196</v>
      </c>
      <c r="H7" s="370">
        <v>43071</v>
      </c>
      <c r="I7" s="285" t="s">
        <v>723</v>
      </c>
      <c r="J7" s="285" t="s">
        <v>724</v>
      </c>
      <c r="K7" s="285" t="s">
        <v>34</v>
      </c>
      <c r="L7" s="371">
        <v>250</v>
      </c>
      <c r="M7" s="374"/>
      <c r="N7" s="371">
        <f>IF(ISBLANK(CkReg16_181519[[#This Row],[Withdrawal]]),N6+CkReg16_181519[[#This Row],[Deposit]],N6-CkReg16_181519[[#This Row],[Withdrawal]])</f>
        <v>3068.2080000000005</v>
      </c>
      <c r="O7" s="374">
        <v>43076</v>
      </c>
      <c r="P7" s="371">
        <f>IF(ISBLANK(CkReg16_181519[[#This Row],[Withdrawal]]),P6+CkReg16_181519[[#This Row],[Deposit]],P6-CkReg16_181519[[#This Row],[Withdrawal]])</f>
        <v>11783.208000000001</v>
      </c>
      <c r="Q7" s="375"/>
      <c r="R7" s="395"/>
      <c r="S7" s="395"/>
      <c r="T7" s="395"/>
      <c r="U7" s="395"/>
      <c r="V7" s="395"/>
      <c r="W7" s="395"/>
      <c r="X7" s="395"/>
      <c r="Y7" s="395"/>
      <c r="Z7" s="395"/>
      <c r="AA7" s="395"/>
      <c r="AB7" s="395"/>
      <c r="AC7" s="395"/>
      <c r="AD7" s="395"/>
      <c r="AE7" s="395"/>
      <c r="AF7" s="395"/>
      <c r="AG7" s="395"/>
      <c r="AH7" s="395"/>
      <c r="AI7" s="395"/>
      <c r="AJ7" s="395"/>
      <c r="AK7" s="395"/>
      <c r="AL7" s="395"/>
      <c r="AM7" s="395"/>
      <c r="AN7" s="395"/>
      <c r="AO7" s="395"/>
      <c r="AP7" s="395"/>
      <c r="AQ7" s="395"/>
      <c r="AR7" s="395"/>
      <c r="AS7" s="395"/>
      <c r="AT7" s="395"/>
      <c r="AU7" s="395"/>
      <c r="AV7" s="395"/>
      <c r="AW7" s="395"/>
      <c r="AX7" s="395"/>
      <c r="AY7" s="395"/>
      <c r="AZ7" s="395"/>
      <c r="BA7" s="395"/>
      <c r="BB7" s="395"/>
      <c r="BC7" s="395"/>
      <c r="BD7" s="395"/>
      <c r="BE7" s="395"/>
      <c r="BF7" s="395"/>
      <c r="BG7" s="395"/>
      <c r="BH7" s="395"/>
      <c r="BI7" s="395"/>
      <c r="BJ7" s="395"/>
      <c r="BK7" s="395"/>
      <c r="BL7" s="395"/>
      <c r="BM7" s="395"/>
      <c r="BN7" s="395"/>
      <c r="BO7" s="395"/>
      <c r="BP7" s="395"/>
      <c r="BQ7" s="395"/>
      <c r="BR7" s="395"/>
      <c r="BS7" s="395"/>
      <c r="BT7" s="395"/>
      <c r="BU7" s="395"/>
      <c r="BV7" s="395"/>
      <c r="BW7" s="395"/>
      <c r="BX7" s="395"/>
      <c r="BY7" s="395"/>
      <c r="BZ7" s="395"/>
      <c r="CA7" s="395"/>
      <c r="CB7" s="395"/>
      <c r="CC7" s="395"/>
      <c r="CD7" s="395"/>
      <c r="CE7" s="395"/>
      <c r="CF7" s="395"/>
      <c r="CG7" s="395"/>
      <c r="CH7" s="395"/>
      <c r="CI7" s="395"/>
      <c r="CJ7" s="395"/>
      <c r="CK7" s="395"/>
      <c r="CL7" s="395"/>
      <c r="CM7" s="395"/>
      <c r="CN7" s="395"/>
      <c r="CO7" s="395"/>
      <c r="CP7" s="395"/>
      <c r="CQ7" s="395"/>
      <c r="CR7" s="395"/>
      <c r="CS7" s="395"/>
      <c r="CT7" s="395"/>
    </row>
    <row r="8" spans="2:98" ht="14.4" customHeight="1" x14ac:dyDescent="0.4">
      <c r="B8" s="88"/>
      <c r="C8" s="88"/>
      <c r="D8" s="88"/>
      <c r="E8" s="88"/>
      <c r="F8" s="88"/>
      <c r="G8" s="286">
        <v>3197</v>
      </c>
      <c r="H8" s="370">
        <v>43071</v>
      </c>
      <c r="I8" s="285" t="s">
        <v>363</v>
      </c>
      <c r="J8" s="285" t="s">
        <v>52</v>
      </c>
      <c r="K8" s="285" t="s">
        <v>52</v>
      </c>
      <c r="L8" s="371">
        <v>25.6</v>
      </c>
      <c r="M8" s="374"/>
      <c r="N8" s="371">
        <f>IF(ISBLANK(CkReg16_181519[[#This Row],[Withdrawal]]),N7+CkReg16_181519[[#This Row],[Deposit]],N7-CkReg16_181519[[#This Row],[Withdrawal]])</f>
        <v>3042.6080000000006</v>
      </c>
      <c r="O8" s="374">
        <v>43074</v>
      </c>
      <c r="P8" s="371">
        <f>IF(ISBLANK(CkReg16_181519[[#This Row],[Withdrawal]]),P7+CkReg16_181519[[#This Row],[Deposit]],P7-CkReg16_181519[[#This Row],[Withdrawal]])</f>
        <v>11757.608</v>
      </c>
      <c r="Q8" s="375"/>
      <c r="R8" s="395"/>
      <c r="S8" s="395"/>
      <c r="T8" s="395"/>
      <c r="U8" s="395"/>
      <c r="V8" s="395"/>
      <c r="W8" s="395"/>
      <c r="X8" s="395"/>
      <c r="Y8" s="395"/>
      <c r="Z8" s="395"/>
      <c r="AA8" s="395"/>
      <c r="AB8" s="395"/>
      <c r="AC8" s="395"/>
      <c r="AD8" s="395"/>
      <c r="AE8" s="395"/>
      <c r="AF8" s="395"/>
      <c r="AG8" s="395"/>
      <c r="AH8" s="395"/>
      <c r="AI8" s="395"/>
      <c r="AJ8" s="395"/>
      <c r="AK8" s="395"/>
      <c r="AL8" s="395"/>
      <c r="AM8" s="395"/>
      <c r="AN8" s="395"/>
      <c r="AO8" s="395"/>
      <c r="AP8" s="395"/>
      <c r="AQ8" s="395"/>
      <c r="AR8" s="395"/>
      <c r="AS8" s="395"/>
      <c r="AT8" s="395"/>
      <c r="AU8" s="395"/>
      <c r="AV8" s="395"/>
      <c r="AW8" s="395"/>
      <c r="AX8" s="395"/>
      <c r="AY8" s="395"/>
      <c r="AZ8" s="395"/>
      <c r="BA8" s="395"/>
      <c r="BB8" s="395"/>
      <c r="BC8" s="395"/>
      <c r="BD8" s="395"/>
      <c r="BE8" s="395"/>
      <c r="BF8" s="395"/>
      <c r="BG8" s="395"/>
      <c r="BH8" s="395"/>
      <c r="BI8" s="395"/>
      <c r="BJ8" s="395"/>
      <c r="BK8" s="395"/>
      <c r="BL8" s="395"/>
      <c r="BM8" s="395"/>
      <c r="BN8" s="395"/>
      <c r="BO8" s="395"/>
      <c r="BP8" s="395"/>
      <c r="BQ8" s="395"/>
      <c r="BR8" s="395"/>
      <c r="BS8" s="395"/>
      <c r="BT8" s="395"/>
      <c r="BU8" s="395"/>
      <c r="BV8" s="395"/>
      <c r="BW8" s="395"/>
      <c r="BX8" s="395"/>
      <c r="BY8" s="395"/>
      <c r="BZ8" s="395"/>
      <c r="CA8" s="395"/>
      <c r="CB8" s="395"/>
      <c r="CC8" s="395"/>
      <c r="CD8" s="395"/>
      <c r="CE8" s="395"/>
      <c r="CF8" s="395"/>
      <c r="CG8" s="395"/>
      <c r="CH8" s="395"/>
      <c r="CI8" s="395"/>
      <c r="CJ8" s="395"/>
      <c r="CK8" s="395"/>
      <c r="CL8" s="395"/>
      <c r="CM8" s="395"/>
      <c r="CN8" s="395"/>
      <c r="CO8" s="395"/>
      <c r="CP8" s="395"/>
      <c r="CQ8" s="395"/>
      <c r="CR8" s="395"/>
      <c r="CS8" s="395"/>
      <c r="CT8" s="395"/>
    </row>
    <row r="9" spans="2:98" ht="14.4" customHeight="1" x14ac:dyDescent="0.4">
      <c r="B9" s="88"/>
      <c r="C9" s="88"/>
      <c r="D9" s="88"/>
      <c r="E9" s="88"/>
      <c r="F9" s="88"/>
      <c r="G9" s="286">
        <v>3198</v>
      </c>
      <c r="H9" s="370">
        <v>43071</v>
      </c>
      <c r="I9" s="285" t="s">
        <v>156</v>
      </c>
      <c r="J9" s="285" t="s">
        <v>725</v>
      </c>
      <c r="K9" s="285" t="s">
        <v>34</v>
      </c>
      <c r="L9" s="371">
        <v>100</v>
      </c>
      <c r="M9" s="374"/>
      <c r="N9" s="371">
        <f>IF(ISBLANK(CkReg16_181519[[#This Row],[Withdrawal]]),N8+CkReg16_181519[[#This Row],[Deposit]],N8-CkReg16_181519[[#This Row],[Withdrawal]])</f>
        <v>2942.6080000000006</v>
      </c>
      <c r="O9" s="374">
        <v>43084</v>
      </c>
      <c r="P9" s="371">
        <f>IF(ISBLANK(CkReg16_181519[[#This Row],[Withdrawal]]),P8+CkReg16_181519[[#This Row],[Deposit]],P8-CkReg16_181519[[#This Row],[Withdrawal]])</f>
        <v>11657.608</v>
      </c>
      <c r="Q9" s="375"/>
      <c r="R9" s="395"/>
      <c r="S9" s="395"/>
      <c r="T9" s="395"/>
      <c r="U9" s="395"/>
      <c r="V9" s="395"/>
      <c r="W9" s="395"/>
      <c r="X9" s="395"/>
      <c r="Y9" s="395"/>
      <c r="Z9" s="395"/>
      <c r="AA9" s="395"/>
      <c r="AB9" s="395"/>
      <c r="AC9" s="395"/>
      <c r="AD9" s="395"/>
      <c r="AE9" s="395"/>
      <c r="AF9" s="395"/>
      <c r="AG9" s="395"/>
      <c r="AH9" s="395"/>
      <c r="AI9" s="395"/>
      <c r="AJ9" s="395"/>
      <c r="AK9" s="395"/>
      <c r="AL9" s="395"/>
      <c r="AM9" s="395"/>
      <c r="AN9" s="395"/>
      <c r="AO9" s="395"/>
      <c r="AP9" s="395"/>
      <c r="AQ9" s="395"/>
      <c r="AR9" s="395"/>
      <c r="AS9" s="395"/>
      <c r="AT9" s="395"/>
      <c r="AU9" s="395"/>
      <c r="AV9" s="395"/>
      <c r="AW9" s="395"/>
      <c r="AX9" s="395"/>
      <c r="AY9" s="395"/>
      <c r="AZ9" s="395"/>
      <c r="BA9" s="395"/>
      <c r="BB9" s="395"/>
      <c r="BC9" s="395"/>
      <c r="BD9" s="395"/>
      <c r="BE9" s="395"/>
      <c r="BF9" s="395"/>
      <c r="BG9" s="395"/>
      <c r="BH9" s="395"/>
      <c r="BI9" s="395"/>
      <c r="BJ9" s="395"/>
      <c r="BK9" s="395"/>
      <c r="BL9" s="395"/>
      <c r="BM9" s="395"/>
      <c r="BN9" s="395"/>
      <c r="BO9" s="395"/>
      <c r="BP9" s="395"/>
      <c r="BQ9" s="395"/>
      <c r="BR9" s="395"/>
      <c r="BS9" s="395"/>
      <c r="BT9" s="395"/>
      <c r="BU9" s="395"/>
      <c r="BV9" s="395"/>
      <c r="BW9" s="395"/>
      <c r="BX9" s="395"/>
      <c r="BY9" s="395"/>
      <c r="BZ9" s="395"/>
      <c r="CA9" s="395"/>
      <c r="CB9" s="395"/>
      <c r="CC9" s="395"/>
      <c r="CD9" s="395"/>
      <c r="CE9" s="395"/>
      <c r="CF9" s="395"/>
      <c r="CG9" s="395"/>
      <c r="CH9" s="395"/>
      <c r="CI9" s="395"/>
      <c r="CJ9" s="395"/>
      <c r="CK9" s="395"/>
      <c r="CL9" s="395"/>
      <c r="CM9" s="395"/>
      <c r="CN9" s="395"/>
      <c r="CO9" s="395"/>
      <c r="CP9" s="395"/>
      <c r="CQ9" s="395"/>
      <c r="CR9" s="395"/>
      <c r="CS9" s="395"/>
      <c r="CT9" s="395"/>
    </row>
    <row r="10" spans="2:98" ht="14.4" customHeight="1" x14ac:dyDescent="0.4">
      <c r="B10" s="88"/>
      <c r="C10" s="88"/>
      <c r="D10" s="88"/>
      <c r="E10" s="88"/>
      <c r="F10" s="88"/>
      <c r="G10" s="286">
        <v>3199</v>
      </c>
      <c r="H10" s="370">
        <v>43071</v>
      </c>
      <c r="I10" s="285" t="s">
        <v>172</v>
      </c>
      <c r="J10" s="285" t="s">
        <v>726</v>
      </c>
      <c r="K10" s="285" t="s">
        <v>34</v>
      </c>
      <c r="L10" s="371">
        <v>425</v>
      </c>
      <c r="M10" s="374"/>
      <c r="N10" s="371">
        <f>IF(ISBLANK(CkReg16_181519[[#This Row],[Withdrawal]]),N9+CkReg16_181519[[#This Row],[Deposit]],N9-CkReg16_181519[[#This Row],[Withdrawal]])</f>
        <v>2517.6080000000006</v>
      </c>
      <c r="O10" s="372">
        <v>43098</v>
      </c>
      <c r="P10" s="371">
        <f>IF(ISBLANK(CkReg16_181519[[#This Row],[Withdrawal]]),P9+CkReg16_181519[[#This Row],[Deposit]],P9-CkReg16_181519[[#This Row],[Withdrawal]])</f>
        <v>11232.608</v>
      </c>
      <c r="Q10" s="375"/>
      <c r="R10" s="395"/>
      <c r="S10" s="395"/>
      <c r="T10" s="395"/>
      <c r="U10" s="395"/>
      <c r="V10" s="395"/>
      <c r="W10" s="395"/>
      <c r="X10" s="395"/>
      <c r="Y10" s="395"/>
      <c r="Z10" s="395"/>
      <c r="AA10" s="395"/>
      <c r="AB10" s="395"/>
      <c r="AC10" s="395"/>
      <c r="AD10" s="395"/>
      <c r="AE10" s="395"/>
      <c r="AF10" s="395"/>
      <c r="AG10" s="395"/>
      <c r="AH10" s="395"/>
      <c r="AI10" s="395"/>
      <c r="AJ10" s="395"/>
      <c r="AK10" s="395"/>
      <c r="AL10" s="395"/>
      <c r="AM10" s="395"/>
      <c r="AN10" s="395"/>
      <c r="AO10" s="395"/>
      <c r="AP10" s="395"/>
      <c r="AQ10" s="395"/>
      <c r="AR10" s="395"/>
      <c r="AS10" s="395"/>
      <c r="AT10" s="395"/>
      <c r="AU10" s="395"/>
      <c r="AV10" s="395"/>
      <c r="AW10" s="395"/>
      <c r="AX10" s="395"/>
      <c r="AY10" s="395"/>
      <c r="AZ10" s="395"/>
      <c r="BA10" s="395"/>
      <c r="BB10" s="395"/>
      <c r="BC10" s="395"/>
      <c r="BD10" s="395"/>
      <c r="BE10" s="395"/>
      <c r="BF10" s="395"/>
      <c r="BG10" s="395"/>
      <c r="BH10" s="395"/>
      <c r="BI10" s="395"/>
      <c r="BJ10" s="395"/>
      <c r="BK10" s="395"/>
      <c r="BL10" s="395"/>
      <c r="BM10" s="395"/>
      <c r="BN10" s="395"/>
      <c r="BO10" s="395"/>
      <c r="BP10" s="395"/>
      <c r="BQ10" s="395"/>
      <c r="BR10" s="395"/>
      <c r="BS10" s="395"/>
      <c r="BT10" s="395"/>
      <c r="BU10" s="395"/>
      <c r="BV10" s="395"/>
      <c r="BW10" s="395"/>
      <c r="BX10" s="395"/>
      <c r="BY10" s="395"/>
      <c r="BZ10" s="395"/>
      <c r="CA10" s="395"/>
      <c r="CB10" s="395"/>
      <c r="CC10" s="395"/>
      <c r="CD10" s="395"/>
      <c r="CE10" s="395"/>
      <c r="CF10" s="395"/>
      <c r="CG10" s="395"/>
      <c r="CH10" s="395"/>
      <c r="CI10" s="395"/>
      <c r="CJ10" s="395"/>
      <c r="CK10" s="395"/>
      <c r="CL10" s="395"/>
      <c r="CM10" s="395"/>
      <c r="CN10" s="395"/>
      <c r="CO10" s="395"/>
      <c r="CP10" s="395"/>
      <c r="CQ10" s="395"/>
      <c r="CR10" s="395"/>
      <c r="CS10" s="395"/>
      <c r="CT10" s="395"/>
    </row>
    <row r="11" spans="2:98" ht="14.4" customHeight="1" x14ac:dyDescent="0.4">
      <c r="B11" s="88"/>
      <c r="C11" s="88"/>
      <c r="D11" s="88"/>
      <c r="E11" s="88"/>
      <c r="F11" s="88"/>
      <c r="G11" s="286">
        <v>3200</v>
      </c>
      <c r="H11" s="370">
        <v>43071</v>
      </c>
      <c r="I11" s="285" t="s">
        <v>131</v>
      </c>
      <c r="J11" s="285" t="s">
        <v>727</v>
      </c>
      <c r="K11" s="285" t="s">
        <v>34</v>
      </c>
      <c r="L11" s="371">
        <v>0</v>
      </c>
      <c r="M11" s="371"/>
      <c r="N11" s="371">
        <f>IF(ISBLANK(CkReg16_181519[[#This Row],[Withdrawal]]),N10+CkReg16_181519[[#This Row],[Deposit]],N10-CkReg16_181519[[#This Row],[Withdrawal]])</f>
        <v>2517.6080000000006</v>
      </c>
      <c r="O11" s="371" t="s">
        <v>735</v>
      </c>
      <c r="P11" s="371">
        <f>IF(ISBLANK(CkReg16_181519[[#This Row],[Withdrawal]]),P10+CkReg16_181519[[#This Row],[Deposit]],P10-CkReg16_181519[[#This Row],[Withdrawal]])</f>
        <v>11232.608</v>
      </c>
      <c r="Q11" s="375"/>
      <c r="R11" s="395"/>
      <c r="S11" s="395"/>
      <c r="T11" s="395"/>
      <c r="U11" s="395"/>
      <c r="V11" s="395"/>
      <c r="W11" s="395"/>
      <c r="X11" s="395"/>
      <c r="Y11" s="395"/>
      <c r="Z11" s="395"/>
      <c r="AA11" s="395"/>
      <c r="AB11" s="395"/>
      <c r="AC11" s="395"/>
      <c r="AD11" s="395"/>
      <c r="AE11" s="395"/>
      <c r="AF11" s="395"/>
      <c r="AG11" s="395"/>
      <c r="AH11" s="395"/>
      <c r="AI11" s="395"/>
      <c r="AJ11" s="395"/>
      <c r="AK11" s="395"/>
      <c r="AL11" s="395"/>
      <c r="AM11" s="395"/>
      <c r="AN11" s="395"/>
      <c r="AO11" s="395"/>
      <c r="AP11" s="395"/>
      <c r="AQ11" s="395"/>
      <c r="AR11" s="395"/>
      <c r="AS11" s="395"/>
      <c r="AT11" s="395"/>
      <c r="AU11" s="395"/>
      <c r="AV11" s="395"/>
      <c r="AW11" s="395"/>
      <c r="AX11" s="395"/>
      <c r="AY11" s="395"/>
      <c r="AZ11" s="395"/>
      <c r="BA11" s="395"/>
      <c r="BB11" s="395"/>
      <c r="BC11" s="395"/>
      <c r="BD11" s="395"/>
      <c r="BE11" s="395"/>
      <c r="BF11" s="395"/>
      <c r="BG11" s="395"/>
      <c r="BH11" s="395"/>
      <c r="BI11" s="395"/>
      <c r="BJ11" s="395"/>
      <c r="BK11" s="395"/>
      <c r="BL11" s="395"/>
      <c r="BM11" s="395"/>
      <c r="BN11" s="395"/>
      <c r="BO11" s="395"/>
      <c r="BP11" s="395"/>
      <c r="BQ11" s="395"/>
      <c r="BR11" s="395"/>
      <c r="BS11" s="395"/>
      <c r="BT11" s="395"/>
      <c r="BU11" s="395"/>
      <c r="BV11" s="395"/>
      <c r="BW11" s="395"/>
      <c r="BX11" s="395"/>
      <c r="BY11" s="395"/>
      <c r="BZ11" s="395"/>
      <c r="CA11" s="395"/>
      <c r="CB11" s="395"/>
      <c r="CC11" s="395"/>
      <c r="CD11" s="395"/>
      <c r="CE11" s="395"/>
      <c r="CF11" s="395"/>
      <c r="CG11" s="395"/>
      <c r="CH11" s="395"/>
      <c r="CI11" s="395"/>
      <c r="CJ11" s="395"/>
      <c r="CK11" s="395"/>
      <c r="CL11" s="395"/>
      <c r="CM11" s="395"/>
      <c r="CN11" s="395"/>
      <c r="CO11" s="395"/>
      <c r="CP11" s="395"/>
      <c r="CQ11" s="395"/>
      <c r="CR11" s="395"/>
      <c r="CS11" s="395"/>
      <c r="CT11" s="395"/>
    </row>
    <row r="12" spans="2:98" ht="14.4" customHeight="1" x14ac:dyDescent="0.4">
      <c r="B12" s="88"/>
      <c r="C12" s="88"/>
      <c r="D12" s="88"/>
      <c r="E12" s="88"/>
      <c r="F12" s="88"/>
      <c r="G12" s="286" t="s">
        <v>731</v>
      </c>
      <c r="H12" s="370">
        <v>43071</v>
      </c>
      <c r="I12" s="285"/>
      <c r="J12" s="285" t="s">
        <v>728</v>
      </c>
      <c r="K12" s="285" t="s">
        <v>32</v>
      </c>
      <c r="L12" s="371"/>
      <c r="M12" s="371">
        <v>320</v>
      </c>
      <c r="N12" s="371">
        <f>IF(ISBLANK(CkReg16_181519[[#This Row],[Withdrawal]]),N11+CkReg16_181519[[#This Row],[Deposit]],N11-CkReg16_181519[[#This Row],[Withdrawal]])</f>
        <v>2837.6080000000006</v>
      </c>
      <c r="O12" s="372">
        <v>43080</v>
      </c>
      <c r="P12" s="371">
        <f>IF(ISBLANK(CkReg16_181519[[#This Row],[Withdrawal]]),P11+CkReg16_181519[[#This Row],[Deposit]],P11-CkReg16_181519[[#This Row],[Withdrawal]])</f>
        <v>11552.608</v>
      </c>
      <c r="Q12" s="375"/>
      <c r="R12" s="395"/>
      <c r="S12" s="395"/>
      <c r="T12" s="395"/>
      <c r="U12" s="395"/>
      <c r="V12" s="395"/>
      <c r="W12" s="395"/>
      <c r="X12" s="395"/>
      <c r="Y12" s="395"/>
      <c r="Z12" s="395"/>
      <c r="AA12" s="395"/>
      <c r="AB12" s="395"/>
      <c r="AC12" s="395"/>
      <c r="AD12" s="395"/>
      <c r="AE12" s="395"/>
      <c r="AF12" s="395"/>
      <c r="AG12" s="395"/>
      <c r="AH12" s="395"/>
      <c r="AI12" s="395"/>
      <c r="AJ12" s="395"/>
      <c r="AK12" s="395"/>
      <c r="AL12" s="395"/>
      <c r="AM12" s="395"/>
      <c r="AN12" s="395"/>
      <c r="AO12" s="395"/>
      <c r="AP12" s="395"/>
      <c r="AQ12" s="395"/>
      <c r="AR12" s="395"/>
      <c r="AS12" s="395"/>
      <c r="AT12" s="395"/>
      <c r="AU12" s="395"/>
      <c r="AV12" s="395"/>
      <c r="AW12" s="395"/>
      <c r="AX12" s="395"/>
      <c r="AY12" s="395"/>
      <c r="AZ12" s="395"/>
      <c r="BA12" s="395"/>
      <c r="BB12" s="395"/>
      <c r="BC12" s="395"/>
      <c r="BD12" s="395"/>
      <c r="BE12" s="395"/>
      <c r="BF12" s="395"/>
      <c r="BG12" s="395"/>
      <c r="BH12" s="395"/>
      <c r="BI12" s="395"/>
      <c r="BJ12" s="395"/>
      <c r="BK12" s="395"/>
      <c r="BL12" s="395"/>
      <c r="BM12" s="395"/>
      <c r="BN12" s="395"/>
      <c r="BO12" s="395"/>
      <c r="BP12" s="395"/>
      <c r="BQ12" s="395"/>
      <c r="BR12" s="395"/>
      <c r="BS12" s="395"/>
      <c r="BT12" s="395"/>
      <c r="BU12" s="395"/>
      <c r="BV12" s="395"/>
      <c r="BW12" s="395"/>
      <c r="BX12" s="395"/>
      <c r="BY12" s="395"/>
      <c r="BZ12" s="395"/>
      <c r="CA12" s="395"/>
      <c r="CB12" s="395"/>
      <c r="CC12" s="395"/>
      <c r="CD12" s="395"/>
      <c r="CE12" s="395"/>
      <c r="CF12" s="395"/>
      <c r="CG12" s="395"/>
      <c r="CH12" s="395"/>
      <c r="CI12" s="395"/>
      <c r="CJ12" s="395"/>
      <c r="CK12" s="395"/>
      <c r="CL12" s="395"/>
      <c r="CM12" s="395"/>
      <c r="CN12" s="395"/>
      <c r="CO12" s="395"/>
      <c r="CP12" s="395"/>
      <c r="CQ12" s="395"/>
      <c r="CR12" s="395"/>
      <c r="CS12" s="395"/>
      <c r="CT12" s="395"/>
    </row>
    <row r="13" spans="2:98" ht="13.65" customHeight="1" x14ac:dyDescent="0.4">
      <c r="B13" s="88"/>
      <c r="C13" s="88"/>
      <c r="D13" s="88"/>
      <c r="E13" s="88"/>
      <c r="F13" s="88"/>
      <c r="G13" s="286"/>
      <c r="H13" s="370">
        <v>43098</v>
      </c>
      <c r="I13" s="285"/>
      <c r="J13" s="285" t="s">
        <v>732</v>
      </c>
      <c r="K13" s="285" t="s">
        <v>91</v>
      </c>
      <c r="L13" s="371">
        <v>-0.01</v>
      </c>
      <c r="M13" s="371"/>
      <c r="N13" s="371">
        <f>IF(ISBLANK(CkReg16_181519[[#This Row],[Withdrawal]]),N12+CkReg16_181519[[#This Row],[Deposit]],N12-CkReg16_181519[[#This Row],[Withdrawal]])</f>
        <v>2837.6180000000008</v>
      </c>
      <c r="O13" s="372">
        <v>43098</v>
      </c>
      <c r="P13" s="371">
        <f>IF(ISBLANK(CkReg16_181519[[#This Row],[Withdrawal]]),P12+CkReg16_181519[[#This Row],[Deposit]],P12-CkReg16_181519[[#This Row],[Withdrawal]])</f>
        <v>11552.618</v>
      </c>
      <c r="Q13" s="375"/>
      <c r="R13" s="395"/>
      <c r="S13" s="395"/>
      <c r="T13" s="395"/>
      <c r="U13" s="395"/>
      <c r="V13" s="395"/>
      <c r="W13" s="395"/>
      <c r="X13" s="395"/>
      <c r="Y13" s="395"/>
      <c r="Z13" s="395"/>
      <c r="AA13" s="395"/>
      <c r="AB13" s="395"/>
      <c r="AC13" s="395"/>
      <c r="AD13" s="395"/>
      <c r="AE13" s="395"/>
      <c r="AF13" s="395"/>
      <c r="AG13" s="395"/>
      <c r="AH13" s="395"/>
      <c r="AI13" s="395"/>
      <c r="AJ13" s="395"/>
      <c r="AK13" s="395"/>
      <c r="AL13" s="395"/>
      <c r="AM13" s="395"/>
      <c r="AN13" s="395"/>
      <c r="AO13" s="395"/>
      <c r="AP13" s="395"/>
      <c r="AQ13" s="395"/>
      <c r="AR13" s="395"/>
      <c r="AS13" s="395"/>
      <c r="AT13" s="395"/>
      <c r="AU13" s="395"/>
      <c r="AV13" s="395"/>
      <c r="AW13" s="395"/>
      <c r="AX13" s="395"/>
      <c r="AY13" s="395"/>
      <c r="AZ13" s="395"/>
      <c r="BA13" s="395"/>
      <c r="BB13" s="395"/>
      <c r="BC13" s="395"/>
      <c r="BD13" s="395"/>
      <c r="BE13" s="395"/>
      <c r="BF13" s="395"/>
      <c r="BG13" s="395"/>
      <c r="BH13" s="395"/>
      <c r="BI13" s="395"/>
      <c r="BJ13" s="395"/>
      <c r="BK13" s="395"/>
      <c r="BL13" s="395"/>
      <c r="BM13" s="395"/>
      <c r="BN13" s="395"/>
      <c r="BO13" s="395"/>
      <c r="BP13" s="395"/>
      <c r="BQ13" s="395"/>
      <c r="BR13" s="395"/>
      <c r="BS13" s="395"/>
      <c r="BT13" s="395"/>
      <c r="BU13" s="395"/>
      <c r="BV13" s="395"/>
      <c r="BW13" s="395"/>
      <c r="BX13" s="395"/>
      <c r="BY13" s="395"/>
      <c r="BZ13" s="395"/>
      <c r="CA13" s="395"/>
      <c r="CB13" s="395"/>
      <c r="CC13" s="395"/>
      <c r="CD13" s="395"/>
      <c r="CE13" s="395"/>
      <c r="CF13" s="395"/>
      <c r="CG13" s="395"/>
      <c r="CH13" s="395"/>
      <c r="CI13" s="395"/>
      <c r="CJ13" s="395"/>
      <c r="CK13" s="395"/>
      <c r="CL13" s="395"/>
      <c r="CM13" s="395"/>
      <c r="CN13" s="395"/>
      <c r="CO13" s="395"/>
      <c r="CP13" s="395"/>
      <c r="CQ13" s="395"/>
      <c r="CR13" s="395"/>
      <c r="CS13" s="395"/>
      <c r="CT13" s="395"/>
    </row>
    <row r="14" spans="2:98" ht="14.4" customHeight="1" x14ac:dyDescent="0.4">
      <c r="B14" s="185" t="s">
        <v>439</v>
      </c>
      <c r="C14" s="186"/>
      <c r="D14" s="188" t="s">
        <v>440</v>
      </c>
      <c r="E14" s="187">
        <f ca="1">NOW()</f>
        <v>44534.888377546296</v>
      </c>
      <c r="F14" s="88"/>
      <c r="G14" s="286"/>
      <c r="H14" s="370">
        <v>43098</v>
      </c>
      <c r="I14" s="285"/>
      <c r="J14" s="285"/>
      <c r="K14" s="285" t="s">
        <v>91</v>
      </c>
      <c r="L14" s="371">
        <v>-0.62</v>
      </c>
      <c r="M14" s="371"/>
      <c r="N14" s="371">
        <f>IF(ISBLANK(CkReg16_181519[[#This Row],[Withdrawal]]),N13+CkReg16_181519[[#This Row],[Deposit]],N13-CkReg16_181519[[#This Row],[Withdrawal]])</f>
        <v>2838.2380000000007</v>
      </c>
      <c r="O14" s="372">
        <v>43098</v>
      </c>
      <c r="P14" s="371">
        <f>IF(ISBLANK(CkReg16_181519[[#This Row],[Withdrawal]]),P13+CkReg16_181519[[#This Row],[Deposit]],P13-CkReg16_181519[[#This Row],[Withdrawal]])</f>
        <v>11553.238000000001</v>
      </c>
      <c r="Q14" s="375">
        <v>43100</v>
      </c>
      <c r="R14" s="395"/>
      <c r="S14" s="395"/>
      <c r="T14" s="395"/>
      <c r="U14" s="395"/>
      <c r="V14" s="395"/>
      <c r="W14" s="395"/>
      <c r="X14" s="395"/>
      <c r="Y14" s="395"/>
      <c r="Z14" s="395"/>
      <c r="AA14" s="395"/>
      <c r="AB14" s="395"/>
      <c r="AC14" s="395"/>
      <c r="AD14" s="395"/>
      <c r="AE14" s="395"/>
      <c r="AF14" s="395"/>
      <c r="AG14" s="395"/>
      <c r="AH14" s="395"/>
      <c r="AI14" s="395"/>
      <c r="AJ14" s="395"/>
      <c r="AK14" s="395"/>
      <c r="AL14" s="395"/>
      <c r="AM14" s="395"/>
      <c r="AN14" s="395"/>
      <c r="AO14" s="395"/>
      <c r="AP14" s="395"/>
      <c r="AQ14" s="395"/>
      <c r="AR14" s="395"/>
      <c r="AS14" s="395"/>
      <c r="AT14" s="395"/>
      <c r="AU14" s="395"/>
      <c r="AV14" s="395"/>
      <c r="AW14" s="395"/>
      <c r="AX14" s="395"/>
      <c r="AY14" s="395"/>
      <c r="AZ14" s="395"/>
      <c r="BA14" s="395"/>
      <c r="BB14" s="395"/>
      <c r="BC14" s="395"/>
      <c r="BD14" s="395"/>
      <c r="BE14" s="395"/>
      <c r="BF14" s="395"/>
      <c r="BG14" s="395"/>
      <c r="BH14" s="395"/>
      <c r="BI14" s="395"/>
      <c r="BJ14" s="395"/>
      <c r="BK14" s="395"/>
      <c r="BL14" s="395"/>
      <c r="BM14" s="395"/>
      <c r="BN14" s="395"/>
      <c r="BO14" s="395"/>
      <c r="BP14" s="395"/>
      <c r="BQ14" s="395"/>
      <c r="BR14" s="395"/>
      <c r="BS14" s="395"/>
      <c r="BT14" s="395"/>
      <c r="BU14" s="395"/>
      <c r="BV14" s="395"/>
      <c r="BW14" s="395"/>
      <c r="BX14" s="395"/>
      <c r="BY14" s="395"/>
      <c r="BZ14" s="395"/>
      <c r="CA14" s="395"/>
      <c r="CB14" s="395"/>
      <c r="CC14" s="395"/>
      <c r="CD14" s="395"/>
      <c r="CE14" s="395"/>
      <c r="CF14" s="395"/>
      <c r="CG14" s="395"/>
      <c r="CH14" s="395"/>
      <c r="CI14" s="395"/>
      <c r="CJ14" s="395"/>
      <c r="CK14" s="395"/>
      <c r="CL14" s="395"/>
      <c r="CM14" s="395"/>
      <c r="CN14" s="395"/>
      <c r="CO14" s="395"/>
      <c r="CP14" s="395"/>
      <c r="CQ14" s="395"/>
      <c r="CR14" s="395"/>
      <c r="CS14" s="395"/>
      <c r="CT14" s="395"/>
    </row>
    <row r="15" spans="2:98" ht="14.4" customHeight="1" x14ac:dyDescent="0.4">
      <c r="B15" s="174"/>
      <c r="C15" s="174"/>
      <c r="D15" s="88"/>
      <c r="E15" s="179" t="s">
        <v>142</v>
      </c>
      <c r="F15" s="179"/>
      <c r="G15" s="286"/>
      <c r="H15" s="370">
        <v>43109</v>
      </c>
      <c r="I15" s="285"/>
      <c r="J15" s="285" t="s">
        <v>725</v>
      </c>
      <c r="K15" s="285" t="s">
        <v>33</v>
      </c>
      <c r="L15" s="371"/>
      <c r="M15" s="371">
        <v>301</v>
      </c>
      <c r="N15" s="371">
        <f>IF(ISBLANK(CkReg16_181519[[#This Row],[Withdrawal]]),N14+CkReg16_181519[[#This Row],[Deposit]],N14-CkReg16_181519[[#This Row],[Withdrawal]])</f>
        <v>3139.2380000000007</v>
      </c>
      <c r="O15" s="372">
        <v>43109</v>
      </c>
      <c r="P15" s="371">
        <f>IF(ISBLANK(CkReg16_181519[[#This Row],[Withdrawal]]),P14+CkReg16_181519[[#This Row],[Deposit]],P14-CkReg16_181519[[#This Row],[Withdrawal]])</f>
        <v>11854.238000000001</v>
      </c>
      <c r="Q15" s="375"/>
      <c r="R15" s="395"/>
      <c r="S15" s="395"/>
      <c r="T15" s="395"/>
      <c r="U15" s="395"/>
      <c r="V15" s="395"/>
      <c r="W15" s="395"/>
      <c r="X15" s="395"/>
      <c r="Y15" s="395"/>
      <c r="Z15" s="395"/>
      <c r="AA15" s="395"/>
      <c r="AB15" s="395"/>
      <c r="AC15" s="395"/>
      <c r="AD15" s="395"/>
      <c r="AE15" s="395"/>
      <c r="AF15" s="395"/>
      <c r="AG15" s="395"/>
      <c r="AH15" s="395"/>
      <c r="AI15" s="395"/>
      <c r="AJ15" s="395"/>
      <c r="AK15" s="395"/>
      <c r="AL15" s="395"/>
      <c r="AM15" s="395"/>
      <c r="AN15" s="395"/>
      <c r="AO15" s="395"/>
      <c r="AP15" s="395"/>
      <c r="AQ15" s="395"/>
      <c r="AR15" s="395"/>
      <c r="AS15" s="395"/>
      <c r="AT15" s="395"/>
      <c r="AU15" s="395"/>
      <c r="AV15" s="395"/>
      <c r="AW15" s="395"/>
      <c r="AX15" s="395"/>
      <c r="AY15" s="395"/>
      <c r="AZ15" s="395"/>
      <c r="BA15" s="395"/>
      <c r="BB15" s="395"/>
      <c r="BC15" s="395"/>
      <c r="BD15" s="395"/>
      <c r="BE15" s="395"/>
      <c r="BF15" s="395"/>
      <c r="BG15" s="395"/>
      <c r="BH15" s="395"/>
      <c r="BI15" s="395"/>
      <c r="BJ15" s="395"/>
      <c r="BK15" s="395"/>
      <c r="BL15" s="395"/>
      <c r="BM15" s="395"/>
      <c r="BN15" s="395"/>
      <c r="BO15" s="395"/>
      <c r="BP15" s="395"/>
      <c r="BQ15" s="395"/>
      <c r="BR15" s="395"/>
      <c r="BS15" s="395"/>
      <c r="BT15" s="395"/>
      <c r="BU15" s="395"/>
      <c r="BV15" s="395"/>
      <c r="BW15" s="395"/>
      <c r="BX15" s="395"/>
      <c r="BY15" s="395"/>
      <c r="BZ15" s="395"/>
      <c r="CA15" s="395"/>
      <c r="CB15" s="395"/>
      <c r="CC15" s="395"/>
      <c r="CD15" s="395"/>
      <c r="CE15" s="395"/>
      <c r="CF15" s="395"/>
      <c r="CG15" s="395"/>
      <c r="CH15" s="395"/>
      <c r="CI15" s="395"/>
      <c r="CJ15" s="395"/>
      <c r="CK15" s="395"/>
      <c r="CL15" s="395"/>
      <c r="CM15" s="395"/>
      <c r="CN15" s="395"/>
      <c r="CO15" s="395"/>
      <c r="CP15" s="395"/>
      <c r="CQ15" s="395"/>
      <c r="CR15" s="395"/>
      <c r="CS15" s="395"/>
      <c r="CT15" s="395"/>
    </row>
    <row r="16" spans="2:98" ht="14.4" customHeight="1" x14ac:dyDescent="0.4">
      <c r="B16" s="88"/>
      <c r="C16" s="88"/>
      <c r="D16" s="88"/>
      <c r="E16" s="88"/>
      <c r="F16" s="88"/>
      <c r="G16" s="286">
        <v>3201</v>
      </c>
      <c r="H16" s="370">
        <v>43131</v>
      </c>
      <c r="I16" s="285" t="s">
        <v>122</v>
      </c>
      <c r="J16" s="285" t="s">
        <v>734</v>
      </c>
      <c r="K16" s="285" t="s">
        <v>45</v>
      </c>
      <c r="L16" s="371">
        <v>0</v>
      </c>
      <c r="M16" s="371"/>
      <c r="N16" s="371">
        <f>IF(ISBLANK(CkReg16_181519[[#This Row],[Withdrawal]]),N15+CkReg16_181519[[#This Row],[Deposit]],N15-CkReg16_181519[[#This Row],[Withdrawal]])</f>
        <v>3139.2380000000007</v>
      </c>
      <c r="O16" s="372" t="s">
        <v>735</v>
      </c>
      <c r="P16" s="371">
        <f>IF(ISBLANK(CkReg16_181519[[#This Row],[Withdrawal]]),P15+CkReg16_181519[[#This Row],[Deposit]],P15-CkReg16_181519[[#This Row],[Withdrawal]])</f>
        <v>11854.238000000001</v>
      </c>
      <c r="Q16" s="375"/>
      <c r="R16" s="395"/>
      <c r="S16" s="395"/>
      <c r="T16" s="395"/>
      <c r="U16" s="395"/>
      <c r="V16" s="395"/>
      <c r="W16" s="395"/>
      <c r="X16" s="395"/>
      <c r="Y16" s="395"/>
      <c r="Z16" s="395"/>
      <c r="AA16" s="395"/>
      <c r="AB16" s="395"/>
      <c r="AC16" s="395"/>
      <c r="AD16" s="395"/>
      <c r="AE16" s="395"/>
      <c r="AF16" s="395"/>
      <c r="AG16" s="395"/>
      <c r="AH16" s="395"/>
      <c r="AI16" s="395"/>
      <c r="AJ16" s="395"/>
      <c r="AK16" s="395"/>
      <c r="AL16" s="395"/>
      <c r="AM16" s="395"/>
      <c r="AN16" s="395"/>
      <c r="AO16" s="395"/>
      <c r="AP16" s="395"/>
      <c r="AQ16" s="395"/>
      <c r="AR16" s="395"/>
      <c r="AS16" s="395"/>
      <c r="AT16" s="395"/>
      <c r="AU16" s="395"/>
      <c r="AV16" s="395"/>
      <c r="AW16" s="395"/>
      <c r="AX16" s="395"/>
      <c r="AY16" s="395"/>
      <c r="AZ16" s="395"/>
      <c r="BA16" s="395"/>
      <c r="BB16" s="395"/>
      <c r="BC16" s="395"/>
      <c r="BD16" s="395"/>
      <c r="BE16" s="395"/>
      <c r="BF16" s="395"/>
      <c r="BG16" s="395"/>
      <c r="BH16" s="395"/>
      <c r="BI16" s="395"/>
      <c r="BJ16" s="395"/>
      <c r="BK16" s="395"/>
      <c r="BL16" s="395"/>
      <c r="BM16" s="395"/>
      <c r="BN16" s="395"/>
      <c r="BO16" s="395"/>
      <c r="BP16" s="395"/>
      <c r="BQ16" s="395"/>
      <c r="BR16" s="395"/>
      <c r="BS16" s="395"/>
      <c r="BT16" s="395"/>
      <c r="BU16" s="395"/>
      <c r="BV16" s="395"/>
      <c r="BW16" s="395"/>
      <c r="BX16" s="395"/>
      <c r="BY16" s="395"/>
      <c r="BZ16" s="395"/>
      <c r="CA16" s="395"/>
      <c r="CB16" s="395"/>
      <c r="CC16" s="395"/>
      <c r="CD16" s="395"/>
      <c r="CE16" s="395"/>
      <c r="CF16" s="395"/>
      <c r="CG16" s="395"/>
      <c r="CH16" s="395"/>
      <c r="CI16" s="395"/>
      <c r="CJ16" s="395"/>
      <c r="CK16" s="395"/>
      <c r="CL16" s="395"/>
      <c r="CM16" s="395"/>
      <c r="CN16" s="395"/>
      <c r="CO16" s="395"/>
      <c r="CP16" s="395"/>
      <c r="CQ16" s="395"/>
      <c r="CR16" s="395"/>
      <c r="CS16" s="395"/>
      <c r="CT16" s="395"/>
    </row>
    <row r="17" spans="2:98" x14ac:dyDescent="0.3">
      <c r="B17" s="91" t="s">
        <v>4</v>
      </c>
      <c r="C17" s="93" t="s">
        <v>438</v>
      </c>
      <c r="D17" s="93" t="s">
        <v>75</v>
      </c>
      <c r="E17" s="93" t="s">
        <v>462</v>
      </c>
      <c r="G17" s="286"/>
      <c r="H17" s="370">
        <v>43131</v>
      </c>
      <c r="I17" s="285"/>
      <c r="J17" s="285"/>
      <c r="K17" s="285" t="s">
        <v>91</v>
      </c>
      <c r="L17" s="371">
        <v>-0.5</v>
      </c>
      <c r="M17" s="371"/>
      <c r="N17" s="371">
        <f>IF(ISBLANK(CkReg16_181519[[#This Row],[Withdrawal]]),N16+CkReg16_181519[[#This Row],[Deposit]],N16-CkReg16_181519[[#This Row],[Withdrawal]])</f>
        <v>3139.7380000000007</v>
      </c>
      <c r="O17" s="372">
        <v>42766</v>
      </c>
      <c r="P17" s="371">
        <f>IF(ISBLANK(CkReg16_181519[[#This Row],[Withdrawal]]),P16+CkReg16_181519[[#This Row],[Deposit]],P16-CkReg16_181519[[#This Row],[Withdrawal]])</f>
        <v>11854.738000000001</v>
      </c>
      <c r="Q17" s="375">
        <v>43131</v>
      </c>
      <c r="R17" s="395"/>
      <c r="S17" s="395"/>
      <c r="T17" s="395"/>
      <c r="U17" s="395"/>
      <c r="V17" s="395"/>
      <c r="W17" s="395"/>
      <c r="X17" s="395"/>
      <c r="Y17" s="395"/>
      <c r="Z17" s="395"/>
      <c r="AA17" s="395"/>
      <c r="AB17" s="395"/>
      <c r="AC17" s="395"/>
      <c r="AD17" s="395"/>
      <c r="AE17" s="395"/>
      <c r="AF17" s="395"/>
      <c r="AG17" s="395"/>
      <c r="AH17" s="395"/>
      <c r="AI17" s="395"/>
      <c r="AJ17" s="395"/>
      <c r="AK17" s="395"/>
      <c r="AL17" s="395"/>
      <c r="AM17" s="395"/>
      <c r="AN17" s="395"/>
      <c r="AO17" s="395"/>
      <c r="AP17" s="395"/>
      <c r="AQ17" s="395"/>
      <c r="AR17" s="395"/>
      <c r="AS17" s="395"/>
      <c r="AT17" s="395"/>
      <c r="AU17" s="395"/>
      <c r="AV17" s="395"/>
      <c r="AW17" s="395"/>
      <c r="AX17" s="395"/>
      <c r="AY17" s="395"/>
      <c r="AZ17" s="395"/>
      <c r="BA17" s="395"/>
      <c r="BB17" s="395"/>
      <c r="BC17" s="395"/>
      <c r="BD17" s="395"/>
      <c r="BE17" s="395"/>
      <c r="BF17" s="395"/>
      <c r="BG17" s="395"/>
      <c r="BH17" s="395"/>
      <c r="BI17" s="395"/>
      <c r="BJ17" s="395"/>
      <c r="BK17" s="395"/>
      <c r="BL17" s="395"/>
      <c r="BM17" s="395"/>
      <c r="BN17" s="395"/>
      <c r="BO17" s="395"/>
      <c r="BP17" s="395"/>
      <c r="BQ17" s="395"/>
      <c r="BR17" s="395"/>
      <c r="BS17" s="395"/>
      <c r="BT17" s="395"/>
      <c r="BU17" s="395"/>
      <c r="BV17" s="395"/>
      <c r="BW17" s="395"/>
      <c r="BX17" s="395"/>
      <c r="BY17" s="395"/>
      <c r="BZ17" s="395"/>
      <c r="CA17" s="395"/>
      <c r="CB17" s="395"/>
      <c r="CC17" s="395"/>
      <c r="CD17" s="395"/>
      <c r="CE17" s="395"/>
      <c r="CF17" s="395"/>
      <c r="CG17" s="395"/>
      <c r="CH17" s="395"/>
      <c r="CI17" s="395"/>
      <c r="CJ17" s="395"/>
      <c r="CK17" s="395"/>
      <c r="CL17" s="395"/>
      <c r="CM17" s="395"/>
      <c r="CN17" s="395"/>
      <c r="CO17" s="395"/>
      <c r="CP17" s="395"/>
      <c r="CQ17" s="395"/>
      <c r="CR17" s="395"/>
      <c r="CS17" s="395"/>
      <c r="CT17" s="395"/>
    </row>
    <row r="18" spans="2:98" x14ac:dyDescent="0.3">
      <c r="B18" s="94" t="s">
        <v>5</v>
      </c>
      <c r="C18" s="95">
        <v>12033.208000000001</v>
      </c>
      <c r="D18" s="95">
        <v>12087.818000000016</v>
      </c>
      <c r="E18" s="95">
        <f>-CategoryTable81210141620[[#This Row],[Budget]]+CategoryTable81210141620[[#This Row],[Actual to date]]</f>
        <v>-54.610000000015134</v>
      </c>
      <c r="F18" s="396"/>
      <c r="G18" s="286">
        <v>3202</v>
      </c>
      <c r="H18" s="370">
        <v>43134</v>
      </c>
      <c r="I18" s="285" t="s">
        <v>362</v>
      </c>
      <c r="J18" s="285" t="s">
        <v>39</v>
      </c>
      <c r="K18" s="285" t="s">
        <v>39</v>
      </c>
      <c r="L18" s="371">
        <v>34.869999999999997</v>
      </c>
      <c r="M18" s="371"/>
      <c r="N18" s="371">
        <f>IF(ISBLANK(CkReg16_181519[[#This Row],[Withdrawal]]),N17+CkReg16_181519[[#This Row],[Deposit]],N17-CkReg16_181519[[#This Row],[Withdrawal]])</f>
        <v>3104.8680000000008</v>
      </c>
      <c r="O18" s="372">
        <v>43143</v>
      </c>
      <c r="P18" s="371">
        <f>IF(ISBLANK(CkReg16_181519[[#This Row],[Withdrawal]]),P17+CkReg16_181519[[#This Row],[Deposit]],P17-CkReg16_181519[[#This Row],[Withdrawal]])</f>
        <v>11819.868</v>
      </c>
      <c r="Q18" s="375"/>
      <c r="R18" s="395"/>
      <c r="S18" s="395"/>
      <c r="T18" s="395"/>
      <c r="U18" s="395"/>
      <c r="V18" s="395"/>
      <c r="W18" s="395"/>
      <c r="X18" s="395"/>
      <c r="Y18" s="395"/>
      <c r="Z18" s="395"/>
      <c r="AA18" s="395"/>
      <c r="AB18" s="395"/>
      <c r="AC18" s="395"/>
      <c r="AD18" s="395"/>
      <c r="AE18" s="395"/>
      <c r="AF18" s="395"/>
      <c r="AG18" s="395"/>
      <c r="AH18" s="395"/>
      <c r="AI18" s="395"/>
      <c r="AJ18" s="395"/>
      <c r="AK18" s="395"/>
      <c r="AL18" s="395"/>
      <c r="AM18" s="395"/>
      <c r="AN18" s="395"/>
      <c r="AO18" s="395"/>
      <c r="AP18" s="395"/>
      <c r="AQ18" s="395"/>
      <c r="AR18" s="395"/>
      <c r="AS18" s="395"/>
      <c r="AT18" s="395"/>
      <c r="AU18" s="395"/>
      <c r="AV18" s="395"/>
      <c r="AW18" s="395"/>
      <c r="AX18" s="395"/>
      <c r="AY18" s="395"/>
      <c r="AZ18" s="395"/>
      <c r="BA18" s="395"/>
      <c r="BB18" s="395"/>
      <c r="BC18" s="395"/>
      <c r="BD18" s="395"/>
      <c r="BE18" s="395"/>
      <c r="BF18" s="395"/>
      <c r="BG18" s="395"/>
      <c r="BH18" s="395"/>
      <c r="BI18" s="395"/>
      <c r="BJ18" s="395"/>
      <c r="BK18" s="395"/>
      <c r="BL18" s="395"/>
      <c r="BM18" s="395"/>
      <c r="BN18" s="395"/>
      <c r="BO18" s="395"/>
      <c r="BP18" s="395"/>
      <c r="BQ18" s="395"/>
      <c r="BR18" s="395"/>
      <c r="BS18" s="395"/>
      <c r="BT18" s="395"/>
      <c r="BU18" s="395"/>
      <c r="BV18" s="395"/>
      <c r="BW18" s="395"/>
      <c r="BX18" s="395"/>
      <c r="BY18" s="395"/>
      <c r="BZ18" s="395"/>
      <c r="CA18" s="395"/>
      <c r="CB18" s="395"/>
      <c r="CC18" s="395"/>
      <c r="CD18" s="395"/>
      <c r="CE18" s="395"/>
      <c r="CF18" s="395"/>
      <c r="CG18" s="395"/>
      <c r="CH18" s="395"/>
      <c r="CI18" s="395"/>
      <c r="CJ18" s="395"/>
      <c r="CK18" s="395"/>
      <c r="CL18" s="395"/>
      <c r="CM18" s="395"/>
      <c r="CN18" s="395"/>
      <c r="CO18" s="395"/>
      <c r="CP18" s="395"/>
      <c r="CQ18" s="395"/>
      <c r="CR18" s="395"/>
      <c r="CS18" s="395"/>
      <c r="CT18" s="395"/>
    </row>
    <row r="19" spans="2:98" x14ac:dyDescent="0.3">
      <c r="B19" s="94" t="s">
        <v>32</v>
      </c>
      <c r="C19" s="95">
        <f>SUMIF(CkReg16_181519[Category],"=" &amp;CategoryTable81210141620[[#This Row],[Category]],CkReg16_181519[Deposit])</f>
        <v>1660.62</v>
      </c>
      <c r="D19" s="95">
        <v>800</v>
      </c>
      <c r="E19" s="95">
        <f>-CategoryTable81210141620[[#This Row],[Budget]]+CategoryTable81210141620[[#This Row],[Actual to date]]</f>
        <v>860.61999999999989</v>
      </c>
      <c r="F19" s="93"/>
      <c r="G19" s="286">
        <v>3202</v>
      </c>
      <c r="H19" s="370">
        <v>43134</v>
      </c>
      <c r="I19" s="285" t="s">
        <v>362</v>
      </c>
      <c r="J19" s="285" t="s">
        <v>39</v>
      </c>
      <c r="K19" s="285" t="s">
        <v>36</v>
      </c>
      <c r="L19" s="371">
        <v>14.94</v>
      </c>
      <c r="M19" s="371"/>
      <c r="N19" s="371">
        <f>IF(ISBLANK(CkReg16_181519[[#This Row],[Withdrawal]]),N18+CkReg16_181519[[#This Row],[Deposit]],N18-CkReg16_181519[[#This Row],[Withdrawal]])</f>
        <v>3089.9280000000008</v>
      </c>
      <c r="O19" s="372">
        <v>43143</v>
      </c>
      <c r="P19" s="371">
        <f>IF(ISBLANK(CkReg16_181519[[#This Row],[Withdrawal]]),P18+CkReg16_181519[[#This Row],[Deposit]],P18-CkReg16_181519[[#This Row],[Withdrawal]])</f>
        <v>11804.928</v>
      </c>
      <c r="Q19" s="375"/>
      <c r="R19" s="395"/>
      <c r="S19" s="395"/>
      <c r="T19" s="395"/>
      <c r="U19" s="395"/>
      <c r="V19" s="395"/>
      <c r="W19" s="395"/>
      <c r="X19" s="395"/>
      <c r="Y19" s="395"/>
      <c r="Z19" s="395"/>
      <c r="AA19" s="395"/>
      <c r="AB19" s="395"/>
      <c r="AC19" s="395"/>
      <c r="AD19" s="395"/>
      <c r="AE19" s="395"/>
      <c r="AF19" s="395"/>
      <c r="AG19" s="395"/>
      <c r="AH19" s="395"/>
      <c r="AI19" s="395"/>
      <c r="AJ19" s="395"/>
      <c r="AK19" s="395"/>
      <c r="AL19" s="395"/>
      <c r="AM19" s="395"/>
      <c r="AN19" s="395"/>
      <c r="AO19" s="395"/>
      <c r="AP19" s="395"/>
      <c r="AQ19" s="395"/>
      <c r="AR19" s="395"/>
      <c r="AS19" s="395"/>
      <c r="AT19" s="395"/>
      <c r="AU19" s="395"/>
      <c r="AV19" s="395"/>
      <c r="AW19" s="395"/>
      <c r="AX19" s="395"/>
      <c r="AY19" s="395"/>
      <c r="AZ19" s="395"/>
      <c r="BA19" s="395"/>
      <c r="BB19" s="395"/>
      <c r="BC19" s="395"/>
      <c r="BD19" s="395"/>
      <c r="BE19" s="395"/>
      <c r="BF19" s="395"/>
      <c r="BG19" s="395"/>
      <c r="BH19" s="395"/>
      <c r="BI19" s="395"/>
      <c r="BJ19" s="395"/>
      <c r="BK19" s="395"/>
      <c r="BL19" s="395"/>
      <c r="BM19" s="395"/>
      <c r="BN19" s="395"/>
      <c r="BO19" s="395"/>
      <c r="BP19" s="395"/>
      <c r="BQ19" s="395"/>
      <c r="BR19" s="395"/>
      <c r="BS19" s="395"/>
      <c r="BT19" s="395"/>
      <c r="BU19" s="395"/>
      <c r="BV19" s="395"/>
      <c r="BW19" s="395"/>
      <c r="BX19" s="395"/>
      <c r="BY19" s="395"/>
      <c r="BZ19" s="395"/>
      <c r="CA19" s="395"/>
      <c r="CB19" s="395"/>
      <c r="CC19" s="395"/>
      <c r="CD19" s="395"/>
      <c r="CE19" s="395"/>
      <c r="CF19" s="395"/>
      <c r="CG19" s="395"/>
      <c r="CH19" s="395"/>
      <c r="CI19" s="395"/>
      <c r="CJ19" s="395"/>
      <c r="CK19" s="395"/>
      <c r="CL19" s="395"/>
      <c r="CM19" s="395"/>
      <c r="CN19" s="395"/>
      <c r="CO19" s="395"/>
      <c r="CP19" s="395"/>
      <c r="CQ19" s="395"/>
      <c r="CR19" s="395"/>
      <c r="CS19" s="395"/>
      <c r="CT19" s="395"/>
    </row>
    <row r="20" spans="2:98" x14ac:dyDescent="0.3">
      <c r="B20" s="94" t="s">
        <v>572</v>
      </c>
      <c r="C20" s="95">
        <f>-(SUMIF(CkReg16_181519[Category],"=" &amp;CategoryTable81210141620[[#This Row],[Category]],CkReg16_181519[Withdrawal]))</f>
        <v>0</v>
      </c>
      <c r="D20" s="95">
        <v>0</v>
      </c>
      <c r="E20" s="95">
        <f>-CategoryTable81210141620[[#This Row],[Budget]]+CategoryTable81210141620[[#This Row],[Actual to date]]</f>
        <v>0</v>
      </c>
      <c r="F20" s="95"/>
      <c r="G20" s="286">
        <v>3203</v>
      </c>
      <c r="H20" s="370">
        <v>43134</v>
      </c>
      <c r="I20" s="285" t="s">
        <v>736</v>
      </c>
      <c r="J20" s="285" t="s">
        <v>737</v>
      </c>
      <c r="K20" s="285" t="s">
        <v>70</v>
      </c>
      <c r="L20" s="371">
        <v>200</v>
      </c>
      <c r="M20" s="371"/>
      <c r="N20" s="371">
        <f>IF(ISBLANK(CkReg16_181519[[#This Row],[Withdrawal]]),N19+CkReg16_181519[[#This Row],[Deposit]],N19-CkReg16_181519[[#This Row],[Withdrawal]])</f>
        <v>2889.9280000000008</v>
      </c>
      <c r="O20" s="372">
        <v>43147</v>
      </c>
      <c r="P20" s="371">
        <f>IF(ISBLANK(CkReg16_181519[[#This Row],[Withdrawal]]),P19+CkReg16_181519[[#This Row],[Deposit]],P19-CkReg16_181519[[#This Row],[Withdrawal]])</f>
        <v>11604.928</v>
      </c>
      <c r="Q20" s="375"/>
      <c r="R20" s="395"/>
      <c r="S20" s="395"/>
      <c r="T20" s="395"/>
      <c r="U20" s="395"/>
      <c r="V20" s="395"/>
      <c r="W20" s="395"/>
      <c r="X20" s="395"/>
      <c r="Y20" s="395"/>
      <c r="Z20" s="395"/>
      <c r="AA20" s="395"/>
      <c r="AB20" s="395"/>
      <c r="AC20" s="395"/>
      <c r="AD20" s="395"/>
      <c r="AE20" s="395"/>
      <c r="AF20" s="395"/>
      <c r="AG20" s="395"/>
      <c r="AH20" s="395"/>
      <c r="AI20" s="395"/>
      <c r="AJ20" s="395"/>
      <c r="AK20" s="395"/>
      <c r="AL20" s="395"/>
      <c r="AM20" s="395"/>
      <c r="AN20" s="395"/>
      <c r="AO20" s="395"/>
      <c r="AP20" s="395"/>
      <c r="AQ20" s="395"/>
      <c r="AR20" s="395"/>
      <c r="AS20" s="395"/>
      <c r="AT20" s="395"/>
      <c r="AU20" s="395"/>
      <c r="AV20" s="395"/>
      <c r="AW20" s="395"/>
      <c r="AX20" s="395"/>
      <c r="AY20" s="395"/>
      <c r="AZ20" s="395"/>
      <c r="BA20" s="395"/>
      <c r="BB20" s="395"/>
      <c r="BC20" s="395"/>
      <c r="BD20" s="395"/>
      <c r="BE20" s="395"/>
      <c r="BF20" s="395"/>
      <c r="BG20" s="395"/>
      <c r="BH20" s="395"/>
      <c r="BI20" s="395"/>
      <c r="BJ20" s="395"/>
      <c r="BK20" s="395"/>
      <c r="BL20" s="395"/>
      <c r="BM20" s="395"/>
      <c r="BN20" s="395"/>
      <c r="BO20" s="395"/>
      <c r="BP20" s="395"/>
      <c r="BQ20" s="395"/>
      <c r="BR20" s="395"/>
      <c r="BS20" s="395"/>
      <c r="BT20" s="395"/>
      <c r="BU20" s="395"/>
      <c r="BV20" s="395"/>
      <c r="BW20" s="395"/>
      <c r="BX20" s="395"/>
      <c r="BY20" s="395"/>
      <c r="BZ20" s="395"/>
      <c r="CA20" s="395"/>
      <c r="CB20" s="395"/>
      <c r="CC20" s="395"/>
      <c r="CD20" s="395"/>
      <c r="CE20" s="395"/>
      <c r="CF20" s="395"/>
      <c r="CG20" s="395"/>
      <c r="CH20" s="395"/>
      <c r="CI20" s="395"/>
      <c r="CJ20" s="395"/>
      <c r="CK20" s="395"/>
      <c r="CL20" s="395"/>
      <c r="CM20" s="395"/>
      <c r="CN20" s="395"/>
      <c r="CO20" s="395"/>
      <c r="CP20" s="395"/>
      <c r="CQ20" s="395"/>
      <c r="CR20" s="395"/>
      <c r="CS20" s="395"/>
      <c r="CT20" s="395"/>
    </row>
    <row r="21" spans="2:98" x14ac:dyDescent="0.3">
      <c r="B21" s="94" t="s">
        <v>571</v>
      </c>
      <c r="C21" s="95">
        <f>SUMIF(CkReg16_181519[Category],"=" &amp;CategoryTable81210141620[[#This Row],[Category]],CkReg16_181519[Deposit])</f>
        <v>0</v>
      </c>
      <c r="D21" s="95">
        <v>0</v>
      </c>
      <c r="E21" s="95">
        <f>-CategoryTable81210141620[[#This Row],[Budget]]+CategoryTable81210141620[[#This Row],[Actual to date]]</f>
        <v>0</v>
      </c>
      <c r="F21" s="95"/>
      <c r="G21" s="286">
        <v>3204</v>
      </c>
      <c r="H21" s="370">
        <v>43134</v>
      </c>
      <c r="I21" s="285" t="s">
        <v>92</v>
      </c>
      <c r="J21" s="285" t="s">
        <v>738</v>
      </c>
      <c r="K21" s="285" t="s">
        <v>43</v>
      </c>
      <c r="L21" s="371">
        <v>75</v>
      </c>
      <c r="M21" s="371"/>
      <c r="N21" s="371">
        <f>IF(ISBLANK(CkReg16_181519[[#This Row],[Withdrawal]]),N20+CkReg16_181519[[#This Row],[Deposit]],N20-CkReg16_181519[[#This Row],[Withdrawal]])</f>
        <v>2814.9280000000008</v>
      </c>
      <c r="O21" s="372">
        <v>43144</v>
      </c>
      <c r="P21" s="371">
        <f>IF(ISBLANK(CkReg16_181519[[#This Row],[Withdrawal]]),P20+CkReg16_181519[[#This Row],[Deposit]],P20-CkReg16_181519[[#This Row],[Withdrawal]])</f>
        <v>11529.928</v>
      </c>
      <c r="Q21" s="375"/>
      <c r="R21" s="395"/>
      <c r="S21" s="395"/>
      <c r="T21" s="395"/>
      <c r="U21" s="395"/>
      <c r="V21" s="395"/>
      <c r="W21" s="395"/>
      <c r="X21" s="395"/>
      <c r="Y21" s="395"/>
      <c r="Z21" s="395"/>
      <c r="AA21" s="395"/>
      <c r="AB21" s="395"/>
      <c r="AC21" s="395"/>
      <c r="AD21" s="395"/>
      <c r="AE21" s="395"/>
      <c r="AF21" s="395"/>
      <c r="AG21" s="395"/>
      <c r="AH21" s="395"/>
      <c r="AI21" s="395"/>
      <c r="AJ21" s="395"/>
      <c r="AK21" s="395"/>
      <c r="AL21" s="395"/>
      <c r="AM21" s="395"/>
      <c r="AN21" s="395"/>
      <c r="AO21" s="395"/>
      <c r="AP21" s="395"/>
      <c r="AQ21" s="395"/>
      <c r="AR21" s="395"/>
      <c r="AS21" s="395"/>
      <c r="AT21" s="395"/>
      <c r="AU21" s="395"/>
      <c r="AV21" s="395"/>
      <c r="AW21" s="395"/>
      <c r="AX21" s="395"/>
      <c r="AY21" s="395"/>
      <c r="AZ21" s="395"/>
      <c r="BA21" s="395"/>
      <c r="BB21" s="395"/>
      <c r="BC21" s="395"/>
      <c r="BD21" s="395"/>
      <c r="BE21" s="395"/>
      <c r="BF21" s="395"/>
      <c r="BG21" s="395"/>
      <c r="BH21" s="395"/>
      <c r="BI21" s="395"/>
      <c r="BJ21" s="395"/>
      <c r="BK21" s="395"/>
      <c r="BL21" s="395"/>
      <c r="BM21" s="395"/>
      <c r="BN21" s="395"/>
      <c r="BO21" s="395"/>
      <c r="BP21" s="395"/>
      <c r="BQ21" s="395"/>
      <c r="BR21" s="395"/>
      <c r="BS21" s="395"/>
      <c r="BT21" s="395"/>
      <c r="BU21" s="395"/>
      <c r="BV21" s="395"/>
      <c r="BW21" s="395"/>
      <c r="BX21" s="395"/>
      <c r="BY21" s="395"/>
      <c r="BZ21" s="395"/>
      <c r="CA21" s="395"/>
      <c r="CB21" s="395"/>
      <c r="CC21" s="395"/>
      <c r="CD21" s="395"/>
      <c r="CE21" s="395"/>
      <c r="CF21" s="395"/>
      <c r="CG21" s="395"/>
      <c r="CH21" s="395"/>
      <c r="CI21" s="395"/>
      <c r="CJ21" s="395"/>
      <c r="CK21" s="395"/>
      <c r="CL21" s="395"/>
      <c r="CM21" s="395"/>
      <c r="CN21" s="395"/>
      <c r="CO21" s="395"/>
      <c r="CP21" s="395"/>
      <c r="CQ21" s="395"/>
      <c r="CR21" s="395"/>
      <c r="CS21" s="395"/>
      <c r="CT21" s="395"/>
    </row>
    <row r="22" spans="2:98" x14ac:dyDescent="0.3">
      <c r="B22" s="94" t="s">
        <v>33</v>
      </c>
      <c r="C22" s="95">
        <f>SUMIF(CkReg16_181519[Category],"=" &amp;CategoryTable81210141620[[#This Row],[Category]],CkReg16_181519[Deposit])</f>
        <v>1110.8599999999999</v>
      </c>
      <c r="D22" s="95">
        <v>1000</v>
      </c>
      <c r="E22" s="95">
        <f>-CategoryTable81210141620[[#This Row],[Budget]]+CategoryTable81210141620[[#This Row],[Actual to date]]</f>
        <v>110.8599999999999</v>
      </c>
      <c r="F22" s="95"/>
      <c r="G22" s="286">
        <v>3205</v>
      </c>
      <c r="H22" s="370">
        <v>43134</v>
      </c>
      <c r="I22" s="285" t="s">
        <v>133</v>
      </c>
      <c r="J22" s="285" t="s">
        <v>739</v>
      </c>
      <c r="K22" s="285" t="s">
        <v>51</v>
      </c>
      <c r="L22" s="371">
        <v>210</v>
      </c>
      <c r="M22" s="371"/>
      <c r="N22" s="371">
        <f>IF(ISBLANK(CkReg16_181519[[#This Row],[Withdrawal]]),N21+CkReg16_181519[[#This Row],[Deposit]],N21-CkReg16_181519[[#This Row],[Withdrawal]])</f>
        <v>2604.9280000000008</v>
      </c>
      <c r="O22" s="372">
        <v>43136</v>
      </c>
      <c r="P22" s="371">
        <f>IF(ISBLANK(CkReg16_181519[[#This Row],[Withdrawal]]),P21+CkReg16_181519[[#This Row],[Deposit]],P21-CkReg16_181519[[#This Row],[Withdrawal]])</f>
        <v>11319.928</v>
      </c>
      <c r="Q22" s="375"/>
      <c r="R22" s="395"/>
      <c r="S22" s="395"/>
      <c r="T22" s="395"/>
      <c r="U22" s="395"/>
      <c r="V22" s="395"/>
      <c r="W22" s="395"/>
      <c r="X22" s="395"/>
      <c r="Y22" s="395"/>
      <c r="Z22" s="395"/>
      <c r="AA22" s="395"/>
      <c r="AB22" s="395"/>
      <c r="AC22" s="395"/>
      <c r="AD22" s="395"/>
      <c r="AE22" s="395"/>
      <c r="AF22" s="395"/>
      <c r="AG22" s="395"/>
      <c r="AH22" s="395"/>
      <c r="AI22" s="395"/>
      <c r="AJ22" s="395"/>
      <c r="AK22" s="395"/>
      <c r="AL22" s="395"/>
      <c r="AM22" s="395"/>
      <c r="AN22" s="395"/>
      <c r="AO22" s="395"/>
      <c r="AP22" s="395"/>
      <c r="AQ22" s="395"/>
      <c r="AR22" s="395"/>
      <c r="AS22" s="395"/>
      <c r="AT22" s="395"/>
      <c r="AU22" s="395"/>
      <c r="AV22" s="395"/>
      <c r="AW22" s="395"/>
      <c r="AX22" s="395"/>
      <c r="AY22" s="395"/>
      <c r="AZ22" s="395"/>
      <c r="BA22" s="395"/>
      <c r="BB22" s="395"/>
      <c r="BC22" s="395"/>
      <c r="BD22" s="395"/>
      <c r="BE22" s="395"/>
      <c r="BF22" s="395"/>
      <c r="BG22" s="395"/>
      <c r="BH22" s="395"/>
      <c r="BI22" s="395"/>
      <c r="BJ22" s="395"/>
      <c r="BK22" s="395"/>
      <c r="BL22" s="395"/>
      <c r="BM22" s="395"/>
      <c r="BN22" s="395"/>
      <c r="BO22" s="395"/>
      <c r="BP22" s="395"/>
      <c r="BQ22" s="395"/>
      <c r="BR22" s="395"/>
      <c r="BS22" s="395"/>
      <c r="BT22" s="395"/>
      <c r="BU22" s="395"/>
      <c r="BV22" s="395"/>
      <c r="BW22" s="395"/>
      <c r="BX22" s="395"/>
      <c r="BY22" s="395"/>
      <c r="BZ22" s="395"/>
      <c r="CA22" s="395"/>
      <c r="CB22" s="395"/>
      <c r="CC22" s="395"/>
      <c r="CD22" s="395"/>
      <c r="CE22" s="395"/>
      <c r="CF22" s="395"/>
      <c r="CG22" s="395"/>
      <c r="CH22" s="395"/>
      <c r="CI22" s="395"/>
      <c r="CJ22" s="395"/>
      <c r="CK22" s="395"/>
      <c r="CL22" s="395"/>
      <c r="CM22" s="395"/>
      <c r="CN22" s="395"/>
      <c r="CO22" s="395"/>
      <c r="CP22" s="395"/>
      <c r="CQ22" s="395"/>
      <c r="CR22" s="395"/>
      <c r="CS22" s="395"/>
      <c r="CT22" s="395"/>
    </row>
    <row r="23" spans="2:98" x14ac:dyDescent="0.3">
      <c r="B23" s="94" t="s">
        <v>34</v>
      </c>
      <c r="C23" s="95">
        <f>-(SUMIF(CkReg16_181519[Category],"=" &amp;CategoryTable81210141620[[#This Row],[Category]],CkReg16_181519[Withdrawal]))</f>
        <v>-1851.11</v>
      </c>
      <c r="D23" s="95">
        <v>-1500</v>
      </c>
      <c r="E23" s="95">
        <f>-CategoryTable81210141620[[#This Row],[Budget]]+CategoryTable81210141620[[#This Row],[Actual to date]]</f>
        <v>-351.1099999999999</v>
      </c>
      <c r="F23" s="95"/>
      <c r="G23" s="286">
        <v>3206</v>
      </c>
      <c r="H23" s="370">
        <v>43134</v>
      </c>
      <c r="I23" s="285" t="s">
        <v>133</v>
      </c>
      <c r="J23" s="285" t="s">
        <v>740</v>
      </c>
      <c r="K23" s="285" t="s">
        <v>51</v>
      </c>
      <c r="L23" s="371">
        <v>20</v>
      </c>
      <c r="M23" s="371"/>
      <c r="N23" s="371">
        <f>IF(ISBLANK(CkReg16_181519[[#This Row],[Withdrawal]]),N22+CkReg16_181519[[#This Row],[Deposit]],N22-CkReg16_181519[[#This Row],[Withdrawal]])</f>
        <v>2584.9280000000008</v>
      </c>
      <c r="O23" s="372">
        <v>43136</v>
      </c>
      <c r="P23" s="371">
        <f>IF(ISBLANK(CkReg16_181519[[#This Row],[Withdrawal]]),P22+CkReg16_181519[[#This Row],[Deposit]],P22-CkReg16_181519[[#This Row],[Withdrawal]])</f>
        <v>11299.928</v>
      </c>
      <c r="Q23" s="375"/>
      <c r="R23" s="395"/>
      <c r="S23" s="395"/>
      <c r="T23" s="395"/>
      <c r="U23" s="395"/>
      <c r="V23" s="395"/>
      <c r="W23" s="395"/>
      <c r="X23" s="395"/>
      <c r="Y23" s="395"/>
      <c r="Z23" s="395"/>
      <c r="AA23" s="395"/>
      <c r="AB23" s="395"/>
      <c r="AC23" s="395"/>
      <c r="AD23" s="395"/>
      <c r="AE23" s="395"/>
      <c r="AF23" s="395"/>
      <c r="AG23" s="395"/>
      <c r="AH23" s="395"/>
      <c r="AI23" s="395"/>
      <c r="AJ23" s="395"/>
      <c r="AK23" s="395"/>
      <c r="AL23" s="395"/>
      <c r="AM23" s="395"/>
      <c r="AN23" s="395"/>
      <c r="AO23" s="395"/>
      <c r="AP23" s="395"/>
      <c r="AQ23" s="395"/>
      <c r="AR23" s="395"/>
      <c r="AS23" s="395"/>
      <c r="AT23" s="395"/>
      <c r="AU23" s="395"/>
      <c r="AV23" s="395"/>
      <c r="AW23" s="395"/>
      <c r="AX23" s="395"/>
      <c r="AY23" s="395"/>
      <c r="AZ23" s="395"/>
      <c r="BA23" s="395"/>
      <c r="BB23" s="395"/>
      <c r="BC23" s="395"/>
      <c r="BD23" s="395"/>
      <c r="BE23" s="395"/>
      <c r="BF23" s="395"/>
      <c r="BG23" s="395"/>
      <c r="BH23" s="395"/>
      <c r="BI23" s="395"/>
      <c r="BJ23" s="395"/>
      <c r="BK23" s="395"/>
      <c r="BL23" s="395"/>
      <c r="BM23" s="395"/>
      <c r="BN23" s="395"/>
      <c r="BO23" s="395"/>
      <c r="BP23" s="395"/>
      <c r="BQ23" s="395"/>
      <c r="BR23" s="395"/>
      <c r="BS23" s="395"/>
      <c r="BT23" s="395"/>
      <c r="BU23" s="395"/>
      <c r="BV23" s="395"/>
      <c r="BW23" s="395"/>
      <c r="BX23" s="395"/>
      <c r="BY23" s="395"/>
      <c r="BZ23" s="395"/>
      <c r="CA23" s="395"/>
      <c r="CB23" s="395"/>
      <c r="CC23" s="395"/>
      <c r="CD23" s="395"/>
      <c r="CE23" s="395"/>
      <c r="CF23" s="395"/>
      <c r="CG23" s="395"/>
      <c r="CH23" s="395"/>
      <c r="CI23" s="395"/>
      <c r="CJ23" s="395"/>
      <c r="CK23" s="395"/>
      <c r="CL23" s="395"/>
      <c r="CM23" s="395"/>
      <c r="CN23" s="395"/>
      <c r="CO23" s="395"/>
      <c r="CP23" s="395"/>
      <c r="CQ23" s="395"/>
      <c r="CR23" s="395"/>
      <c r="CS23" s="395"/>
      <c r="CT23" s="395"/>
    </row>
    <row r="24" spans="2:98" x14ac:dyDescent="0.3">
      <c r="B24" s="94" t="s">
        <v>37</v>
      </c>
      <c r="C24" s="95">
        <f>-(SUMIF(CkReg16_181519[Category],"=" &amp;CategoryTable81210141620[[#This Row],[Category]],CkReg16_181519[Withdrawal]))</f>
        <v>0</v>
      </c>
      <c r="D24" s="95">
        <v>-50</v>
      </c>
      <c r="E24" s="95">
        <f>-CategoryTable81210141620[[#This Row],[Budget]]+CategoryTable81210141620[[#This Row],[Actual to date]]</f>
        <v>50</v>
      </c>
      <c r="F24" s="95"/>
      <c r="G24" s="286">
        <v>3207</v>
      </c>
      <c r="H24" s="370">
        <v>43134</v>
      </c>
      <c r="I24" s="285" t="s">
        <v>131</v>
      </c>
      <c r="J24" s="285" t="s">
        <v>741</v>
      </c>
      <c r="K24" s="285" t="s">
        <v>573</v>
      </c>
      <c r="L24" s="371">
        <v>0</v>
      </c>
      <c r="M24" s="371"/>
      <c r="N24" s="371">
        <f>IF(ISBLANK(CkReg16_181519[[#This Row],[Withdrawal]]),N23+CkReg16_181519[[#This Row],[Deposit]],N23-CkReg16_181519[[#This Row],[Withdrawal]])</f>
        <v>2584.9280000000008</v>
      </c>
      <c r="O24" s="372" t="s">
        <v>735</v>
      </c>
      <c r="P24" s="371">
        <f>IF(ISBLANK(CkReg16_181519[[#This Row],[Withdrawal]]),P23+CkReg16_181519[[#This Row],[Deposit]],P23-CkReg16_181519[[#This Row],[Withdrawal]])</f>
        <v>11299.928</v>
      </c>
      <c r="Q24" s="375"/>
      <c r="R24" s="395"/>
      <c r="S24" s="395"/>
      <c r="T24" s="395"/>
      <c r="U24" s="395"/>
      <c r="V24" s="395"/>
      <c r="W24" s="395"/>
      <c r="X24" s="395"/>
      <c r="Y24" s="395"/>
      <c r="Z24" s="395"/>
      <c r="AA24" s="395"/>
      <c r="AB24" s="395"/>
      <c r="AC24" s="395"/>
      <c r="AD24" s="395"/>
      <c r="AE24" s="395"/>
      <c r="AF24" s="395"/>
      <c r="AG24" s="395"/>
      <c r="AH24" s="395"/>
      <c r="AI24" s="395"/>
      <c r="AJ24" s="395"/>
      <c r="AK24" s="395"/>
      <c r="AL24" s="395"/>
      <c r="AM24" s="395"/>
      <c r="AN24" s="395"/>
      <c r="AO24" s="395"/>
      <c r="AP24" s="395"/>
      <c r="AQ24" s="395"/>
      <c r="AR24" s="395"/>
      <c r="AS24" s="395"/>
      <c r="AT24" s="395"/>
      <c r="AU24" s="395"/>
      <c r="AV24" s="395"/>
      <c r="AW24" s="395"/>
      <c r="AX24" s="395"/>
      <c r="AY24" s="395"/>
      <c r="AZ24" s="395"/>
      <c r="BA24" s="395"/>
      <c r="BB24" s="395"/>
      <c r="BC24" s="395"/>
      <c r="BD24" s="395"/>
      <c r="BE24" s="395"/>
      <c r="BF24" s="395"/>
      <c r="BG24" s="395"/>
      <c r="BH24" s="395"/>
      <c r="BI24" s="395"/>
      <c r="BJ24" s="395"/>
      <c r="BK24" s="395"/>
      <c r="BL24" s="395"/>
      <c r="BM24" s="395"/>
      <c r="BN24" s="395"/>
      <c r="BO24" s="395"/>
      <c r="BP24" s="395"/>
      <c r="BQ24" s="395"/>
      <c r="BR24" s="395"/>
      <c r="BS24" s="395"/>
      <c r="BT24" s="395"/>
      <c r="BU24" s="395"/>
      <c r="BV24" s="395"/>
      <c r="BW24" s="395"/>
      <c r="BX24" s="395"/>
      <c r="BY24" s="395"/>
      <c r="BZ24" s="395"/>
      <c r="CA24" s="395"/>
      <c r="CB24" s="395"/>
      <c r="CC24" s="395"/>
      <c r="CD24" s="395"/>
      <c r="CE24" s="395"/>
      <c r="CF24" s="395"/>
      <c r="CG24" s="395"/>
      <c r="CH24" s="395"/>
      <c r="CI24" s="395"/>
      <c r="CJ24" s="395"/>
      <c r="CK24" s="395"/>
      <c r="CL24" s="395"/>
      <c r="CM24" s="395"/>
      <c r="CN24" s="395"/>
      <c r="CO24" s="395"/>
      <c r="CP24" s="395"/>
      <c r="CQ24" s="395"/>
      <c r="CR24" s="395"/>
      <c r="CS24" s="395"/>
      <c r="CT24" s="395"/>
    </row>
    <row r="25" spans="2:98" x14ac:dyDescent="0.3">
      <c r="B25" s="94" t="s">
        <v>39</v>
      </c>
      <c r="C25" s="95">
        <f>-(SUMIF(CkReg16_181519[Category],"=" &amp;CategoryTable81210141620[[#This Row],[Category]],CkReg16_181519[Withdrawal]))</f>
        <v>-167.32999999999998</v>
      </c>
      <c r="D25" s="95">
        <v>-400</v>
      </c>
      <c r="E25" s="95">
        <f>-CategoryTable81210141620[[#This Row],[Budget]]+CategoryTable81210141620[[#This Row],[Actual to date]]</f>
        <v>232.67000000000002</v>
      </c>
      <c r="F25" s="95"/>
      <c r="G25" s="286">
        <v>3208</v>
      </c>
      <c r="H25" s="370">
        <v>43134</v>
      </c>
      <c r="I25" s="285" t="s">
        <v>128</v>
      </c>
      <c r="J25" s="285" t="s">
        <v>742</v>
      </c>
      <c r="K25" s="285" t="s">
        <v>34</v>
      </c>
      <c r="L25" s="371">
        <v>100</v>
      </c>
      <c r="M25" s="371"/>
      <c r="N25" s="371">
        <f>IF(ISBLANK(CkReg16_181519[[#This Row],[Withdrawal]]),N24+CkReg16_181519[[#This Row],[Deposit]],N24-CkReg16_181519[[#This Row],[Withdrawal]])</f>
        <v>2484.9280000000008</v>
      </c>
      <c r="O25" s="372">
        <v>43173</v>
      </c>
      <c r="P25" s="371">
        <f>IF(ISBLANK(CkReg16_181519[[#This Row],[Withdrawal]]),P24+CkReg16_181519[[#This Row],[Deposit]],P24-CkReg16_181519[[#This Row],[Withdrawal]])</f>
        <v>11199.928</v>
      </c>
      <c r="Q25" s="375"/>
      <c r="R25" s="395"/>
      <c r="S25" s="395"/>
      <c r="T25" s="395"/>
      <c r="U25" s="395"/>
      <c r="V25" s="395"/>
      <c r="W25" s="395"/>
      <c r="X25" s="395"/>
      <c r="Y25" s="395"/>
      <c r="Z25" s="395"/>
      <c r="AA25" s="395"/>
      <c r="AB25" s="395"/>
      <c r="AC25" s="395"/>
      <c r="AD25" s="395"/>
      <c r="AE25" s="395"/>
      <c r="AF25" s="395"/>
      <c r="AG25" s="395"/>
      <c r="AH25" s="395"/>
      <c r="AI25" s="395"/>
      <c r="AJ25" s="395"/>
      <c r="AK25" s="395"/>
      <c r="AL25" s="395"/>
      <c r="AM25" s="395"/>
      <c r="AN25" s="395"/>
      <c r="AO25" s="395"/>
      <c r="AP25" s="395"/>
      <c r="AQ25" s="395"/>
      <c r="AR25" s="395"/>
      <c r="AS25" s="395"/>
      <c r="AT25" s="395"/>
      <c r="AU25" s="395"/>
      <c r="AV25" s="395"/>
      <c r="AW25" s="395"/>
      <c r="AX25" s="395"/>
      <c r="AY25" s="395"/>
      <c r="AZ25" s="395"/>
      <c r="BA25" s="395"/>
      <c r="BB25" s="395"/>
      <c r="BC25" s="395"/>
      <c r="BD25" s="395"/>
      <c r="BE25" s="395"/>
      <c r="BF25" s="395"/>
      <c r="BG25" s="395"/>
      <c r="BH25" s="395"/>
      <c r="BI25" s="395"/>
      <c r="BJ25" s="395"/>
      <c r="BK25" s="395"/>
      <c r="BL25" s="395"/>
      <c r="BM25" s="395"/>
      <c r="BN25" s="395"/>
      <c r="BO25" s="395"/>
      <c r="BP25" s="395"/>
      <c r="BQ25" s="395"/>
      <c r="BR25" s="395"/>
      <c r="BS25" s="395"/>
      <c r="BT25" s="395"/>
      <c r="BU25" s="395"/>
      <c r="BV25" s="395"/>
      <c r="BW25" s="395"/>
      <c r="BX25" s="395"/>
      <c r="BY25" s="395"/>
      <c r="BZ25" s="395"/>
      <c r="CA25" s="395"/>
      <c r="CB25" s="395"/>
      <c r="CC25" s="395"/>
      <c r="CD25" s="395"/>
      <c r="CE25" s="395"/>
      <c r="CF25" s="395"/>
      <c r="CG25" s="395"/>
      <c r="CH25" s="395"/>
      <c r="CI25" s="395"/>
      <c r="CJ25" s="395"/>
      <c r="CK25" s="395"/>
      <c r="CL25" s="395"/>
      <c r="CM25" s="395"/>
      <c r="CN25" s="395"/>
      <c r="CO25" s="395"/>
      <c r="CP25" s="395"/>
      <c r="CQ25" s="395"/>
      <c r="CR25" s="395"/>
      <c r="CS25" s="395"/>
      <c r="CT25" s="395"/>
    </row>
    <row r="26" spans="2:98" x14ac:dyDescent="0.3">
      <c r="B26" s="94" t="s">
        <v>40</v>
      </c>
      <c r="C26" s="95">
        <f>-(SUMIF(CkReg16_181519[Category],"=" &amp;CategoryTable81210141620[[#This Row],[Category]],CkReg16_181519[Withdrawal]))</f>
        <v>0</v>
      </c>
      <c r="D26" s="95">
        <v>-150</v>
      </c>
      <c r="E26" s="95">
        <f>-CategoryTable81210141620[[#This Row],[Budget]]+CategoryTable81210141620[[#This Row],[Actual to date]]</f>
        <v>150</v>
      </c>
      <c r="F26" s="95"/>
      <c r="G26" s="286"/>
      <c r="H26" s="370">
        <v>43134</v>
      </c>
      <c r="I26" s="285"/>
      <c r="J26" s="285" t="s">
        <v>743</v>
      </c>
      <c r="K26" s="285" t="s">
        <v>32</v>
      </c>
      <c r="L26" s="371"/>
      <c r="M26" s="371">
        <v>356</v>
      </c>
      <c r="N26" s="371">
        <f>IF(ISBLANK(CkReg16_181519[[#This Row],[Withdrawal]]),N25+CkReg16_181519[[#This Row],[Deposit]],N25-CkReg16_181519[[#This Row],[Withdrawal]])</f>
        <v>2840.9280000000008</v>
      </c>
      <c r="O26" s="372">
        <v>43139</v>
      </c>
      <c r="P26" s="371">
        <f>IF(ISBLANK(CkReg16_181519[[#This Row],[Withdrawal]]),P25+CkReg16_181519[[#This Row],[Deposit]],P25-CkReg16_181519[[#This Row],[Withdrawal]])</f>
        <v>11555.928</v>
      </c>
      <c r="Q26" s="375"/>
      <c r="R26" s="395"/>
      <c r="S26" s="395"/>
      <c r="T26" s="395"/>
      <c r="U26" s="395"/>
      <c r="V26" s="395"/>
      <c r="W26" s="395"/>
      <c r="X26" s="395"/>
      <c r="Y26" s="395"/>
      <c r="Z26" s="395"/>
      <c r="AA26" s="395"/>
      <c r="AB26" s="395"/>
      <c r="AC26" s="395"/>
      <c r="AD26" s="395"/>
      <c r="AE26" s="395"/>
      <c r="AF26" s="395"/>
      <c r="AG26" s="395"/>
      <c r="AH26" s="395"/>
      <c r="AI26" s="395"/>
      <c r="AJ26" s="395"/>
      <c r="AK26" s="395"/>
      <c r="AL26" s="395"/>
      <c r="AM26" s="395"/>
      <c r="AN26" s="395"/>
      <c r="AO26" s="395"/>
      <c r="AP26" s="395"/>
      <c r="AQ26" s="395"/>
      <c r="AR26" s="395"/>
      <c r="AS26" s="395"/>
      <c r="AT26" s="395"/>
      <c r="AU26" s="395"/>
      <c r="AV26" s="395"/>
      <c r="AW26" s="395"/>
      <c r="AX26" s="395"/>
      <c r="AY26" s="395"/>
      <c r="AZ26" s="395"/>
      <c r="BA26" s="395"/>
      <c r="BB26" s="395"/>
      <c r="BC26" s="395"/>
      <c r="BD26" s="395"/>
      <c r="BE26" s="395"/>
      <c r="BF26" s="395"/>
      <c r="BG26" s="395"/>
      <c r="BH26" s="395"/>
      <c r="BI26" s="395"/>
      <c r="BJ26" s="395"/>
      <c r="BK26" s="395"/>
      <c r="BL26" s="395"/>
      <c r="BM26" s="395"/>
      <c r="BN26" s="395"/>
      <c r="BO26" s="395"/>
      <c r="BP26" s="395"/>
      <c r="BQ26" s="395"/>
      <c r="BR26" s="395"/>
      <c r="BS26" s="395"/>
      <c r="BT26" s="395"/>
      <c r="BU26" s="395"/>
      <c r="BV26" s="395"/>
      <c r="BW26" s="395"/>
      <c r="BX26" s="395"/>
      <c r="BY26" s="395"/>
      <c r="BZ26" s="395"/>
      <c r="CA26" s="395"/>
      <c r="CB26" s="395"/>
      <c r="CC26" s="395"/>
      <c r="CD26" s="395"/>
      <c r="CE26" s="395"/>
      <c r="CF26" s="395"/>
      <c r="CG26" s="395"/>
      <c r="CH26" s="395"/>
      <c r="CI26" s="395"/>
      <c r="CJ26" s="395"/>
      <c r="CK26" s="395"/>
      <c r="CL26" s="395"/>
      <c r="CM26" s="395"/>
      <c r="CN26" s="395"/>
      <c r="CO26" s="395"/>
      <c r="CP26" s="395"/>
      <c r="CQ26" s="395"/>
      <c r="CR26" s="395"/>
      <c r="CS26" s="395"/>
      <c r="CT26" s="395"/>
    </row>
    <row r="27" spans="2:98" s="96" customFormat="1" x14ac:dyDescent="0.3">
      <c r="B27" s="94" t="s">
        <v>91</v>
      </c>
      <c r="C27" s="95">
        <f>-(SUMIF(CkReg16_181519[Category],"=" &amp;CategoryTable81210141620[[#This Row],[Category]],CkReg16_181519[Withdrawal]))</f>
        <v>6.28</v>
      </c>
      <c r="D27" s="95">
        <v>5</v>
      </c>
      <c r="E27" s="95">
        <f>-CategoryTable81210141620[[#This Row],[Budget]]+CategoryTable81210141620[[#This Row],[Actual to date]]</f>
        <v>1.2800000000000002</v>
      </c>
      <c r="F27" s="95"/>
      <c r="G27" s="286"/>
      <c r="H27" s="370">
        <v>43154</v>
      </c>
      <c r="I27" s="285"/>
      <c r="J27" s="285" t="s">
        <v>726</v>
      </c>
      <c r="K27" s="285" t="s">
        <v>33</v>
      </c>
      <c r="L27" s="371"/>
      <c r="M27" s="371">
        <v>226</v>
      </c>
      <c r="N27" s="371">
        <f>IF(ISBLANK(CkReg16_181519[[#This Row],[Withdrawal]]),N26+CkReg16_181519[[#This Row],[Deposit]],N26-CkReg16_181519[[#This Row],[Withdrawal]])</f>
        <v>3066.9280000000008</v>
      </c>
      <c r="O27" s="372">
        <v>43154</v>
      </c>
      <c r="P27" s="371">
        <f>IF(ISBLANK(CkReg16_181519[[#This Row],[Withdrawal]]),P26+CkReg16_181519[[#This Row],[Deposit]],P26-CkReg16_181519[[#This Row],[Withdrawal]])</f>
        <v>11781.928</v>
      </c>
      <c r="Q27" s="375"/>
    </row>
    <row r="28" spans="2:98" s="96" customFormat="1" x14ac:dyDescent="0.3">
      <c r="B28" s="94" t="s">
        <v>43</v>
      </c>
      <c r="C28" s="95">
        <f>-(SUMIF(CkReg16_181519[Category],"=" &amp;CategoryTable81210141620[[#This Row],[Category]],CkReg16_181519[Withdrawal]))</f>
        <v>-375</v>
      </c>
      <c r="D28" s="95">
        <v>-450</v>
      </c>
      <c r="E28" s="95">
        <f>-CategoryTable81210141620[[#This Row],[Budget]]+CategoryTable81210141620[[#This Row],[Actual to date]]</f>
        <v>75</v>
      </c>
      <c r="F28" s="95"/>
      <c r="G28" s="286"/>
      <c r="H28" s="370">
        <v>43159</v>
      </c>
      <c r="I28" s="285"/>
      <c r="J28" s="285"/>
      <c r="K28" s="285" t="s">
        <v>91</v>
      </c>
      <c r="L28" s="371">
        <v>-0.45</v>
      </c>
      <c r="M28" s="371"/>
      <c r="N28" s="371">
        <f>IF(ISBLANK(CkReg16_181519[[#This Row],[Withdrawal]]),N27+CkReg16_181519[[#This Row],[Deposit]],N27-CkReg16_181519[[#This Row],[Withdrawal]])</f>
        <v>3067.3780000000006</v>
      </c>
      <c r="O28" s="372">
        <v>43159</v>
      </c>
      <c r="P28" s="371">
        <f>IF(ISBLANK(CkReg16_181519[[#This Row],[Withdrawal]]),P27+CkReg16_181519[[#This Row],[Deposit]],P27-CkReg16_181519[[#This Row],[Withdrawal]])</f>
        <v>11782.378000000001</v>
      </c>
      <c r="Q28" s="375">
        <v>43159</v>
      </c>
    </row>
    <row r="29" spans="2:98" s="96" customFormat="1" x14ac:dyDescent="0.3">
      <c r="B29" s="94" t="s">
        <v>44</v>
      </c>
      <c r="C29" s="95">
        <f>-(SUMIF(CkReg16_181519[Category],"=" &amp;CategoryTable81210141620[[#This Row],[Category]],CkReg16_181519[Withdrawal]))</f>
        <v>-221.61</v>
      </c>
      <c r="D29" s="95">
        <v>-300</v>
      </c>
      <c r="E29" s="95">
        <f>-CategoryTable81210141620[[#This Row],[Budget]]+CategoryTable81210141620[[#This Row],[Actual to date]]</f>
        <v>78.389999999999986</v>
      </c>
      <c r="F29" s="95"/>
      <c r="G29" s="286"/>
      <c r="H29" s="370">
        <v>43189</v>
      </c>
      <c r="I29" s="285"/>
      <c r="J29" s="285"/>
      <c r="K29" s="285" t="s">
        <v>91</v>
      </c>
      <c r="L29" s="371">
        <v>-0.5</v>
      </c>
      <c r="M29" s="371"/>
      <c r="N29" s="371">
        <f>IF(ISBLANK(CkReg16_181519[[#This Row],[Withdrawal]]),N28+CkReg16_181519[[#This Row],[Deposit]],N28-CkReg16_181519[[#This Row],[Withdrawal]])</f>
        <v>3067.8780000000006</v>
      </c>
      <c r="O29" s="372">
        <v>43189</v>
      </c>
      <c r="P29" s="371">
        <f>IF(ISBLANK(CkReg16_181519[[#This Row],[Withdrawal]]),P28+CkReg16_181519[[#This Row],[Deposit]],P28-CkReg16_181519[[#This Row],[Withdrawal]])</f>
        <v>11782.878000000001</v>
      </c>
      <c r="Q29" s="375">
        <v>43190</v>
      </c>
    </row>
    <row r="30" spans="2:98" s="96" customFormat="1" x14ac:dyDescent="0.3">
      <c r="B30" s="94" t="s">
        <v>45</v>
      </c>
      <c r="C30" s="95">
        <f>-(SUMIF(CkReg16_181519[Category],"=" &amp;CategoryTable81210141620[[#This Row],[Category]],CkReg16_181519[Withdrawal]))</f>
        <v>-82</v>
      </c>
      <c r="D30" s="95">
        <v>-85</v>
      </c>
      <c r="E30" s="95">
        <f>-CategoryTable81210141620[[#This Row],[Budget]]+CategoryTable81210141620[[#This Row],[Actual to date]]</f>
        <v>3</v>
      </c>
      <c r="F30" s="95"/>
      <c r="G30" s="286">
        <v>3209</v>
      </c>
      <c r="H30" s="370">
        <v>43196</v>
      </c>
      <c r="I30" s="285" t="s">
        <v>122</v>
      </c>
      <c r="J30" s="285" t="s">
        <v>45</v>
      </c>
      <c r="K30" s="285" t="s">
        <v>45</v>
      </c>
      <c r="L30" s="371">
        <v>82</v>
      </c>
      <c r="M30" s="371"/>
      <c r="N30" s="371">
        <f>IF(ISBLANK(CkReg16_181519[[#This Row],[Withdrawal]]),N29+CkReg16_181519[[#This Row],[Deposit]],N29-CkReg16_181519[[#This Row],[Withdrawal]])</f>
        <v>2985.8780000000006</v>
      </c>
      <c r="O30" s="372">
        <v>43200</v>
      </c>
      <c r="P30" s="371">
        <f>IF(ISBLANK(CkReg16_181519[[#This Row],[Withdrawal]]),P29+CkReg16_181519[[#This Row],[Deposit]],P29-CkReg16_181519[[#This Row],[Withdrawal]])</f>
        <v>11700.878000000001</v>
      </c>
      <c r="Q30" s="375"/>
    </row>
    <row r="31" spans="2:98" s="96" customFormat="1" x14ac:dyDescent="0.3">
      <c r="B31" s="94" t="s">
        <v>46</v>
      </c>
      <c r="C31" s="95">
        <f>-(SUMIF(CkReg16_181519[Category],"=" &amp;CategoryTable81210141620[[#This Row],[Category]],CkReg16_181519[Withdrawal]))</f>
        <v>-1032</v>
      </c>
      <c r="D31" s="95">
        <v>-925</v>
      </c>
      <c r="E31" s="95">
        <f>-CategoryTable81210141620[[#This Row],[Budget]]+CategoryTable81210141620[[#This Row],[Actual to date]]</f>
        <v>-107</v>
      </c>
      <c r="F31" s="95"/>
      <c r="G31" s="286">
        <v>3210</v>
      </c>
      <c r="H31" s="370">
        <v>43197</v>
      </c>
      <c r="I31" s="285" t="s">
        <v>362</v>
      </c>
      <c r="J31" s="285" t="s">
        <v>87</v>
      </c>
      <c r="K31" s="285" t="s">
        <v>39</v>
      </c>
      <c r="L31" s="371"/>
      <c r="M31" s="371"/>
      <c r="N31" s="371">
        <f>IF(ISBLANK(CkReg16_181519[[#This Row],[Withdrawal]]),N30+CkReg16_181519[[#This Row],[Deposit]],N30-CkReg16_181519[[#This Row],[Withdrawal]])</f>
        <v>2985.8780000000006</v>
      </c>
      <c r="O31" s="372" t="s">
        <v>735</v>
      </c>
      <c r="P31" s="371">
        <f>IF(ISBLANK(CkReg16_181519[[#This Row],[Withdrawal]]),P30+CkReg16_181519[[#This Row],[Deposit]],P30-CkReg16_181519[[#This Row],[Withdrawal]])</f>
        <v>11700.878000000001</v>
      </c>
      <c r="Q31" s="375"/>
    </row>
    <row r="32" spans="2:98" s="96" customFormat="1" x14ac:dyDescent="0.3">
      <c r="B32" s="94" t="s">
        <v>47</v>
      </c>
      <c r="C32" s="95">
        <f>-(SUMIF(CkReg16_181519[Category],"=" &amp;CategoryTable81210141620[[#This Row],[Category]],CkReg16_181519[Withdrawal]))</f>
        <v>0</v>
      </c>
      <c r="D32" s="95">
        <v>-50</v>
      </c>
      <c r="E32" s="95">
        <f>-CategoryTable81210141620[[#This Row],[Budget]]+CategoryTable81210141620[[#This Row],[Actual to date]]</f>
        <v>50</v>
      </c>
      <c r="F32" s="95"/>
      <c r="G32" s="286">
        <v>3210</v>
      </c>
      <c r="H32" s="370">
        <v>43197</v>
      </c>
      <c r="I32" s="285" t="s">
        <v>362</v>
      </c>
      <c r="J32" s="285" t="s">
        <v>87</v>
      </c>
      <c r="K32" s="285" t="s">
        <v>36</v>
      </c>
      <c r="L32" s="371"/>
      <c r="M32" s="371"/>
      <c r="N32" s="371">
        <f>IF(ISBLANK(CkReg16_181519[[#This Row],[Withdrawal]]),N31+CkReg16_181519[[#This Row],[Deposit]],N31-CkReg16_181519[[#This Row],[Withdrawal]])</f>
        <v>2985.8780000000006</v>
      </c>
      <c r="O32" s="372" t="s">
        <v>735</v>
      </c>
      <c r="P32" s="371">
        <f>IF(ISBLANK(CkReg16_181519[[#This Row],[Withdrawal]]),P31+CkReg16_181519[[#This Row],[Deposit]],P31-CkReg16_181519[[#This Row],[Withdrawal]])</f>
        <v>11700.878000000001</v>
      </c>
      <c r="Q32" s="375"/>
    </row>
    <row r="33" spans="2:17" s="96" customFormat="1" x14ac:dyDescent="0.3">
      <c r="B33" s="94" t="s">
        <v>49</v>
      </c>
      <c r="C33" s="95">
        <f>-(SUMIF(CkReg16_181519[Category],"=" &amp;CategoryTable81210141620[[#This Row],[Category]],CkReg16_181519[Withdrawal]))</f>
        <v>-11.600000000000001</v>
      </c>
      <c r="D33" s="95">
        <v>-50</v>
      </c>
      <c r="E33" s="95">
        <f>-CategoryTable81210141620[[#This Row],[Budget]]+CategoryTable81210141620[[#This Row],[Actual to date]]</f>
        <v>38.4</v>
      </c>
      <c r="F33" s="95"/>
      <c r="G33" s="286">
        <v>3210</v>
      </c>
      <c r="H33" s="370">
        <v>43197</v>
      </c>
      <c r="I33" s="285" t="s">
        <v>362</v>
      </c>
      <c r="J33" s="285" t="s">
        <v>87</v>
      </c>
      <c r="K33" s="285" t="s">
        <v>70</v>
      </c>
      <c r="L33" s="371"/>
      <c r="M33" s="371"/>
      <c r="N33" s="371">
        <f>IF(ISBLANK(CkReg16_181519[[#This Row],[Withdrawal]]),N32+CkReg16_181519[[#This Row],[Deposit]],N32-CkReg16_181519[[#This Row],[Withdrawal]])</f>
        <v>2985.8780000000006</v>
      </c>
      <c r="O33" s="372" t="s">
        <v>735</v>
      </c>
      <c r="P33" s="371">
        <f>IF(ISBLANK(CkReg16_181519[[#This Row],[Withdrawal]]),P32+CkReg16_181519[[#This Row],[Deposit]],P32-CkReg16_181519[[#This Row],[Withdrawal]])</f>
        <v>11700.878000000001</v>
      </c>
      <c r="Q33" s="375"/>
    </row>
    <row r="34" spans="2:17" s="96" customFormat="1" x14ac:dyDescent="0.3">
      <c r="B34" s="94" t="s">
        <v>50</v>
      </c>
      <c r="C34" s="95">
        <f>-(SUMIF(CkReg16_181519[Category],"=" &amp;CategoryTable81210141620[[#This Row],[Category]],CkReg16_181519[Withdrawal]))</f>
        <v>0</v>
      </c>
      <c r="D34" s="95">
        <v>-25</v>
      </c>
      <c r="E34" s="95">
        <f>-CategoryTable81210141620[[#This Row],[Budget]]+CategoryTable81210141620[[#This Row],[Actual to date]]</f>
        <v>25</v>
      </c>
      <c r="F34" s="95"/>
      <c r="G34" s="286">
        <v>3211</v>
      </c>
      <c r="H34" s="370">
        <v>43197</v>
      </c>
      <c r="I34" s="285" t="s">
        <v>156</v>
      </c>
      <c r="J34" s="285" t="s">
        <v>745</v>
      </c>
      <c r="K34" s="285" t="s">
        <v>389</v>
      </c>
      <c r="L34" s="371">
        <v>275</v>
      </c>
      <c r="M34" s="371"/>
      <c r="N34" s="371">
        <f>IF(ISBLANK(CkReg16_181519[[#This Row],[Withdrawal]]),N33+CkReg16_181519[[#This Row],[Deposit]],N33-CkReg16_181519[[#This Row],[Withdrawal]])</f>
        <v>2710.8780000000006</v>
      </c>
      <c r="O34" s="372">
        <v>43206</v>
      </c>
      <c r="P34" s="371">
        <f>IF(ISBLANK(CkReg16_181519[[#This Row],[Withdrawal]]),P33+CkReg16_181519[[#This Row],[Deposit]],P33-CkReg16_181519[[#This Row],[Withdrawal]])</f>
        <v>11425.878000000001</v>
      </c>
      <c r="Q34" s="375"/>
    </row>
    <row r="35" spans="2:17" s="96" customFormat="1" x14ac:dyDescent="0.3">
      <c r="B35" s="94" t="s">
        <v>51</v>
      </c>
      <c r="C35" s="95">
        <f>-(SUMIF(CkReg16_181519[Category],"=" &amp;CategoryTable81210141620[[#This Row],[Category]],CkReg16_181519[Withdrawal]))</f>
        <v>-490</v>
      </c>
      <c r="D35" s="95">
        <v>-450</v>
      </c>
      <c r="E35" s="95">
        <f>-CategoryTable81210141620[[#This Row],[Budget]]+CategoryTable81210141620[[#This Row],[Actual to date]]</f>
        <v>-40</v>
      </c>
      <c r="F35" s="95"/>
      <c r="G35" s="286">
        <v>3211</v>
      </c>
      <c r="H35" s="370">
        <v>43197</v>
      </c>
      <c r="I35" s="285" t="s">
        <v>156</v>
      </c>
      <c r="J35" s="285" t="s">
        <v>410</v>
      </c>
      <c r="K35" s="285" t="s">
        <v>390</v>
      </c>
      <c r="L35" s="371">
        <v>293.22000000000003</v>
      </c>
      <c r="M35" s="371"/>
      <c r="N35" s="371">
        <f>IF(ISBLANK(CkReg16_181519[[#This Row],[Withdrawal]]),N34+CkReg16_181519[[#This Row],[Deposit]],N34-CkReg16_181519[[#This Row],[Withdrawal]])</f>
        <v>2417.6580000000004</v>
      </c>
      <c r="O35" s="372">
        <v>43206</v>
      </c>
      <c r="P35" s="371">
        <f>IF(ISBLANK(CkReg16_181519[[#This Row],[Withdrawal]]),P34+CkReg16_181519[[#This Row],[Deposit]],P34-CkReg16_181519[[#This Row],[Withdrawal]])</f>
        <v>11132.658000000001</v>
      </c>
      <c r="Q35" s="375"/>
    </row>
    <row r="36" spans="2:17" s="96" customFormat="1" x14ac:dyDescent="0.3">
      <c r="B36" s="94" t="s">
        <v>52</v>
      </c>
      <c r="C36" s="95">
        <f>-(SUMIF(CkReg16_181519[Category],"=" &amp;CategoryTable81210141620[[#This Row],[Category]],CkReg16_181519[Withdrawal]))</f>
        <v>-90.710000000000008</v>
      </c>
      <c r="D36" s="95">
        <v>-100</v>
      </c>
      <c r="E36" s="95">
        <f>-CategoryTable81210141620[[#This Row],[Budget]]+CategoryTable81210141620[[#This Row],[Actual to date]]</f>
        <v>9.289999999999992</v>
      </c>
      <c r="F36" s="95"/>
      <c r="G36" s="286">
        <v>3212</v>
      </c>
      <c r="H36" s="370">
        <v>43197</v>
      </c>
      <c r="I36" s="285" t="s">
        <v>92</v>
      </c>
      <c r="J36" s="285" t="s">
        <v>738</v>
      </c>
      <c r="K36" s="285" t="s">
        <v>43</v>
      </c>
      <c r="L36" s="371">
        <v>0</v>
      </c>
      <c r="M36" s="371"/>
      <c r="N36" s="371">
        <f>IF(ISBLANK(CkReg16_181519[[#This Row],[Withdrawal]]),N35+CkReg16_181519[[#This Row],[Deposit]],N35-CkReg16_181519[[#This Row],[Withdrawal]])</f>
        <v>2417.6580000000004</v>
      </c>
      <c r="O36" s="372" t="s">
        <v>735</v>
      </c>
      <c r="P36" s="371">
        <f>IF(ISBLANK(CkReg16_181519[[#This Row],[Withdrawal]]),P35+CkReg16_181519[[#This Row],[Deposit]],P35-CkReg16_181519[[#This Row],[Withdrawal]])</f>
        <v>11132.658000000001</v>
      </c>
      <c r="Q36" s="375"/>
    </row>
    <row r="37" spans="2:17" s="96" customFormat="1" x14ac:dyDescent="0.3">
      <c r="B37" s="94" t="s">
        <v>53</v>
      </c>
      <c r="C37" s="95">
        <f>-(SUMIF(CkReg16_181519[Category],"=" &amp;CategoryTable81210141620[[#This Row],[Category]],CkReg16_181519[Withdrawal]))</f>
        <v>-20</v>
      </c>
      <c r="D37" s="95">
        <v>-25</v>
      </c>
      <c r="E37" s="95">
        <f>-CategoryTable81210141620[[#This Row],[Budget]]+CategoryTable81210141620[[#This Row],[Actual to date]]</f>
        <v>5</v>
      </c>
      <c r="F37" s="95"/>
      <c r="G37" s="286">
        <v>3213</v>
      </c>
      <c r="H37" s="370">
        <v>43197</v>
      </c>
      <c r="I37" s="285" t="s">
        <v>362</v>
      </c>
      <c r="J37" s="285" t="s">
        <v>39</v>
      </c>
      <c r="K37" s="285" t="s">
        <v>39</v>
      </c>
      <c r="L37" s="371">
        <v>34.869999999999997</v>
      </c>
      <c r="M37" s="371"/>
      <c r="N37" s="371">
        <f>IF(ISBLANK(CkReg16_181519[[#This Row],[Withdrawal]]),N36+CkReg16_181519[[#This Row],[Deposit]],N36-CkReg16_181519[[#This Row],[Withdrawal]])</f>
        <v>2382.7880000000005</v>
      </c>
      <c r="O37" s="372">
        <v>43208</v>
      </c>
      <c r="P37" s="371">
        <f>IF(ISBLANK(CkReg16_181519[[#This Row],[Withdrawal]]),P36+CkReg16_181519[[#This Row],[Deposit]],P36-CkReg16_181519[[#This Row],[Withdrawal]])</f>
        <v>11097.788</v>
      </c>
      <c r="Q37" s="375"/>
    </row>
    <row r="38" spans="2:17" s="96" customFormat="1" ht="13.8" x14ac:dyDescent="0.3">
      <c r="B38" s="94" t="s">
        <v>54</v>
      </c>
      <c r="C38" s="95">
        <f>-(SUMIF(CkReg16_181519[Category],"=" &amp;CategoryTable81210141620[[#This Row],[Category]],CkReg16_181519[Withdrawal]))</f>
        <v>0</v>
      </c>
      <c r="D38" s="95">
        <v>-25</v>
      </c>
      <c r="E38" s="95">
        <f>-CategoryTable81210141620[[#This Row],[Budget]]+CategoryTable81210141620[[#This Row],[Actual to date]]</f>
        <v>25</v>
      </c>
      <c r="F38" s="95"/>
      <c r="G38" s="286">
        <v>3213</v>
      </c>
      <c r="H38" s="370">
        <v>43197</v>
      </c>
      <c r="I38" s="285" t="s">
        <v>362</v>
      </c>
      <c r="J38" s="285" t="s">
        <v>39</v>
      </c>
      <c r="K38" s="285" t="s">
        <v>36</v>
      </c>
      <c r="L38" s="371">
        <v>14.94</v>
      </c>
      <c r="M38" s="371"/>
      <c r="N38" s="371">
        <f>IF(ISBLANK(CkReg16_181519[[#This Row],[Withdrawal]]),N37+CkReg16_181519[[#This Row],[Deposit]],N37-CkReg16_181519[[#This Row],[Withdrawal]])</f>
        <v>2367.8480000000004</v>
      </c>
      <c r="O38" s="372">
        <v>43208</v>
      </c>
      <c r="P38" s="371">
        <f>IF(ISBLANK(CkReg16_181519[[#This Row],[Withdrawal]]),P37+CkReg16_181519[[#This Row],[Deposit]],P37-CkReg16_181519[[#This Row],[Withdrawal]])</f>
        <v>11082.848</v>
      </c>
      <c r="Q38" s="376"/>
    </row>
    <row r="39" spans="2:17" s="96" customFormat="1" ht="13.8" x14ac:dyDescent="0.3">
      <c r="B39" s="94" t="s">
        <v>36</v>
      </c>
      <c r="C39" s="95">
        <f>-(SUMIF(CkReg16_181519[Category],"=" &amp;CategoryTable81210141620[[#This Row],[Category]],CkReg16_181519[Withdrawal]))</f>
        <v>-497.28999999999996</v>
      </c>
      <c r="D39" s="95">
        <v>-500</v>
      </c>
      <c r="E39" s="95">
        <f>-CategoryTable81210141620[[#This Row],[Budget]]+CategoryTable81210141620[[#This Row],[Actual to date]]</f>
        <v>2.7100000000000364</v>
      </c>
      <c r="F39" s="95"/>
      <c r="G39" s="286">
        <v>3213</v>
      </c>
      <c r="H39" s="370">
        <v>43197</v>
      </c>
      <c r="I39" s="285" t="s">
        <v>362</v>
      </c>
      <c r="J39" s="285" t="s">
        <v>744</v>
      </c>
      <c r="K39" s="285" t="s">
        <v>70</v>
      </c>
      <c r="L39" s="371">
        <v>146.19999999999999</v>
      </c>
      <c r="M39" s="371"/>
      <c r="N39" s="371">
        <f>IF(ISBLANK(CkReg16_181519[[#This Row],[Withdrawal]]),N38+CkReg16_181519[[#This Row],[Deposit]],N38-CkReg16_181519[[#This Row],[Withdrawal]])</f>
        <v>2221.6480000000006</v>
      </c>
      <c r="O39" s="372">
        <v>43208</v>
      </c>
      <c r="P39" s="371">
        <f>IF(ISBLANK(CkReg16_181519[[#This Row],[Withdrawal]]),P38+CkReg16_181519[[#This Row],[Deposit]],P38-CkReg16_181519[[#This Row],[Withdrawal]])</f>
        <v>10936.647999999999</v>
      </c>
      <c r="Q39" s="376"/>
    </row>
    <row r="40" spans="2:17" s="96" customFormat="1" ht="13.8" x14ac:dyDescent="0.3">
      <c r="B40" s="94" t="s">
        <v>573</v>
      </c>
      <c r="C40" s="95">
        <f>-(SUMIF(CkReg16_181519[Category],"=" &amp;CategoryTable81210141620[[#This Row],[Category]],CkReg16_181519[Withdrawal]))</f>
        <v>-23.42</v>
      </c>
      <c r="D40" s="95">
        <v>-300</v>
      </c>
      <c r="E40" s="95">
        <f>-CategoryTable81210141620[[#This Row],[Budget]]+CategoryTable81210141620[[#This Row],[Actual to date]]</f>
        <v>276.58</v>
      </c>
      <c r="F40" s="95"/>
      <c r="G40" s="286">
        <v>3214</v>
      </c>
      <c r="H40" s="370">
        <v>43197</v>
      </c>
      <c r="I40" s="285" t="s">
        <v>92</v>
      </c>
      <c r="J40" s="285" t="s">
        <v>742</v>
      </c>
      <c r="K40" s="285" t="s">
        <v>34</v>
      </c>
      <c r="L40" s="371">
        <v>0</v>
      </c>
      <c r="M40" s="371"/>
      <c r="N40" s="371">
        <f>IF(ISBLANK(CkReg16_181519[[#This Row],[Withdrawal]]),N39+CkReg16_181519[[#This Row],[Deposit]],N39-CkReg16_181519[[#This Row],[Withdrawal]])</f>
        <v>2221.6480000000006</v>
      </c>
      <c r="O40" s="372" t="s">
        <v>735</v>
      </c>
      <c r="P40" s="371">
        <f>IF(ISBLANK(CkReg16_181519[[#This Row],[Withdrawal]]),P39+CkReg16_181519[[#This Row],[Deposit]],P39-CkReg16_181519[[#This Row],[Withdrawal]])</f>
        <v>10936.647999999999</v>
      </c>
      <c r="Q40" s="376"/>
    </row>
    <row r="41" spans="2:17" s="96" customFormat="1" ht="13.8" x14ac:dyDescent="0.3">
      <c r="B41" s="94" t="s">
        <v>574</v>
      </c>
      <c r="C41" s="95">
        <f>-(SUMIF(CkReg16_181519[Category],"=" &amp;CategoryTable81210141620[[#This Row],[Category]],CkReg16_181519[Withdrawal]))</f>
        <v>0</v>
      </c>
      <c r="D41" s="95">
        <v>-300</v>
      </c>
      <c r="E41" s="95">
        <f>-CategoryTable81210141620[[#This Row],[Budget]]+CategoryTable81210141620[[#This Row],[Actual to date]]</f>
        <v>300</v>
      </c>
      <c r="F41" s="95"/>
      <c r="G41" s="286">
        <v>3215</v>
      </c>
      <c r="H41" s="370">
        <v>43197</v>
      </c>
      <c r="I41" s="285" t="s">
        <v>172</v>
      </c>
      <c r="J41" s="285" t="s">
        <v>746</v>
      </c>
      <c r="K41" s="285" t="s">
        <v>53</v>
      </c>
      <c r="L41" s="371">
        <v>10</v>
      </c>
      <c r="M41" s="371"/>
      <c r="N41" s="371">
        <f>IF(ISBLANK(CkReg16_181519[[#This Row],[Withdrawal]]),N40+CkReg16_181519[[#This Row],[Deposit]],N40-CkReg16_181519[[#This Row],[Withdrawal]])</f>
        <v>2211.6480000000006</v>
      </c>
      <c r="O41" s="372">
        <v>43203</v>
      </c>
      <c r="P41" s="371">
        <f>IF(ISBLANK(CkReg16_181519[[#This Row],[Withdrawal]]),P40+CkReg16_181519[[#This Row],[Deposit]],P40-CkReg16_181519[[#This Row],[Withdrawal]])</f>
        <v>10926.647999999999</v>
      </c>
      <c r="Q41" s="376"/>
    </row>
    <row r="42" spans="2:17" s="96" customFormat="1" ht="13.8" x14ac:dyDescent="0.3">
      <c r="B42" s="94" t="s">
        <v>389</v>
      </c>
      <c r="C42" s="95">
        <f>-(SUMIF(CkReg16_181519[Category],"=" &amp;CategoryTable81210141620[[#This Row],[Category]],CkReg16_181519[Withdrawal]))</f>
        <v>-137.5</v>
      </c>
      <c r="D42" s="95">
        <v>-400</v>
      </c>
      <c r="E42" s="95">
        <f>-CategoryTable81210141620[[#This Row],[Budget]]+CategoryTable81210141620[[#This Row],[Actual to date]]</f>
        <v>262.5</v>
      </c>
      <c r="F42" s="95"/>
      <c r="G42" s="286">
        <v>3215</v>
      </c>
      <c r="H42" s="370">
        <v>43197</v>
      </c>
      <c r="I42" s="285" t="s">
        <v>172</v>
      </c>
      <c r="J42" s="285" t="s">
        <v>453</v>
      </c>
      <c r="K42" s="285" t="s">
        <v>52</v>
      </c>
      <c r="L42" s="371">
        <v>42.27</v>
      </c>
      <c r="M42" s="371"/>
      <c r="N42" s="371">
        <f>IF(ISBLANK(CkReg16_181519[[#This Row],[Withdrawal]]),N41+CkReg16_181519[[#This Row],[Deposit]],N41-CkReg16_181519[[#This Row],[Withdrawal]])</f>
        <v>2169.3780000000006</v>
      </c>
      <c r="O42" s="372">
        <v>43203</v>
      </c>
      <c r="P42" s="371">
        <f>IF(ISBLANK(CkReg16_181519[[#This Row],[Withdrawal]]),P41+CkReg16_181519[[#This Row],[Deposit]],P41-CkReg16_181519[[#This Row],[Withdrawal]])</f>
        <v>10884.377999999999</v>
      </c>
      <c r="Q42" s="376"/>
    </row>
    <row r="43" spans="2:17" s="96" customFormat="1" ht="13.8" x14ac:dyDescent="0.3">
      <c r="B43" s="94" t="s">
        <v>390</v>
      </c>
      <c r="C43" s="95">
        <f>-(SUMIF(CkReg16_181519[Category],"=" &amp;CategoryTable81210141620[[#This Row],[Category]],CkReg16_181519[Withdrawal]))</f>
        <v>-293.22000000000003</v>
      </c>
      <c r="D43" s="95">
        <v>-300</v>
      </c>
      <c r="E43" s="95">
        <f>-CategoryTable81210141620[[#This Row],[Budget]]+CategoryTable81210141620[[#This Row],[Actual to date]]</f>
        <v>6.7799999999999727</v>
      </c>
      <c r="F43" s="95"/>
      <c r="G43" s="286">
        <v>3215</v>
      </c>
      <c r="H43" s="370">
        <v>43197</v>
      </c>
      <c r="I43" s="285" t="s">
        <v>172</v>
      </c>
      <c r="J43" s="285" t="s">
        <v>747</v>
      </c>
      <c r="K43" s="285" t="s">
        <v>34</v>
      </c>
      <c r="L43" s="371">
        <v>-40.520000000000003</v>
      </c>
      <c r="M43" s="371"/>
      <c r="N43" s="371">
        <f>IF(ISBLANK(CkReg16_181519[[#This Row],[Withdrawal]]),N42+CkReg16_181519[[#This Row],[Deposit]],N42-CkReg16_181519[[#This Row],[Withdrawal]])</f>
        <v>2209.8980000000006</v>
      </c>
      <c r="O43" s="372">
        <v>43203</v>
      </c>
      <c r="P43" s="371">
        <f>IF(ISBLANK(CkReg16_181519[[#This Row],[Withdrawal]]),P42+CkReg16_181519[[#This Row],[Deposit]],P42-CkReg16_181519[[#This Row],[Withdrawal]])</f>
        <v>10924.897999999999</v>
      </c>
      <c r="Q43" s="376"/>
    </row>
    <row r="44" spans="2:17" s="96" customFormat="1" ht="13.8" x14ac:dyDescent="0.3">
      <c r="B44" s="94" t="s">
        <v>703</v>
      </c>
      <c r="C44" s="95">
        <f>-(SUMIF(CkReg16_181519[Category],"=" &amp;CategoryTable81210141620[[#This Row],[Category]],CkReg16_181519[Withdrawal]))</f>
        <v>-1715</v>
      </c>
      <c r="D44" s="95">
        <v>-1715</v>
      </c>
      <c r="E44" s="95">
        <f>-CategoryTable81210141620[[#This Row],[Budget]]+CategoryTable81210141620[[#This Row],[Actual to date]]</f>
        <v>0</v>
      </c>
      <c r="F44" s="95"/>
      <c r="G44" s="286">
        <v>3216</v>
      </c>
      <c r="H44" s="370">
        <v>43197</v>
      </c>
      <c r="I44" s="285" t="s">
        <v>748</v>
      </c>
      <c r="J44" s="285" t="s">
        <v>749</v>
      </c>
      <c r="K44" s="285" t="s">
        <v>52</v>
      </c>
      <c r="L44" s="371">
        <v>17.53</v>
      </c>
      <c r="M44" s="371"/>
      <c r="N44" s="371">
        <f>IF(ISBLANK(CkReg16_181519[[#This Row],[Withdrawal]]),N43+CkReg16_181519[[#This Row],[Deposit]],N43-CkReg16_181519[[#This Row],[Withdrawal]])</f>
        <v>2192.3680000000004</v>
      </c>
      <c r="O44" s="372">
        <v>43200</v>
      </c>
      <c r="P44" s="371">
        <f>IF(ISBLANK(CkReg16_181519[[#This Row],[Withdrawal]]),P43+CkReg16_181519[[#This Row],[Deposit]],P43-CkReg16_181519[[#This Row],[Withdrawal]])</f>
        <v>10907.367999999999</v>
      </c>
      <c r="Q44" s="376"/>
    </row>
    <row r="45" spans="2:17" s="96" customFormat="1" ht="13.8" x14ac:dyDescent="0.3">
      <c r="B45" s="94" t="s">
        <v>704</v>
      </c>
      <c r="C45" s="95">
        <f>-(SUMIF(CkReg16_181519[Category],"=" &amp;CategoryTable81210141620[[#This Row],[Category]],CkReg16_181519[Withdrawal]))</f>
        <v>0</v>
      </c>
      <c r="D45" s="95">
        <v>0</v>
      </c>
      <c r="E45" s="95">
        <f>-CategoryTable81210141620[[#This Row],[Budget]]+CategoryTable81210141620[[#This Row],[Actual to date]]</f>
        <v>0</v>
      </c>
      <c r="F45" s="95"/>
      <c r="G45" s="286"/>
      <c r="H45" s="370">
        <v>43197</v>
      </c>
      <c r="I45" s="285"/>
      <c r="J45" s="285"/>
      <c r="K45" s="285" t="s">
        <v>32</v>
      </c>
      <c r="L45" s="371"/>
      <c r="M45" s="371">
        <f>75+40+30+50+60+20</f>
        <v>275</v>
      </c>
      <c r="N45" s="371">
        <f>IF(ISBLANK(CkReg16_181519[[#This Row],[Withdrawal]]),N44+CkReg16_181519[[#This Row],[Deposit]],N44-CkReg16_181519[[#This Row],[Withdrawal]])</f>
        <v>2467.3680000000004</v>
      </c>
      <c r="O45" s="372">
        <v>43203</v>
      </c>
      <c r="P45" s="371">
        <f>IF(ISBLANK(CkReg16_181519[[#This Row],[Withdrawal]]),P44+CkReg16_181519[[#This Row],[Deposit]],P44-CkReg16_181519[[#This Row],[Withdrawal]])</f>
        <v>11182.367999999999</v>
      </c>
      <c r="Q45" s="376"/>
    </row>
    <row r="46" spans="2:17" s="96" customFormat="1" ht="13.8" x14ac:dyDescent="0.3">
      <c r="B46" s="94" t="s">
        <v>55</v>
      </c>
      <c r="C46" s="95">
        <f>-(SUMIF(CkReg16_181519[Category],"=" &amp;CategoryTable81210141620[[#This Row],[Category]],CkReg16_181519[Withdrawal]))</f>
        <v>-3000</v>
      </c>
      <c r="D46" s="95">
        <v>-3000</v>
      </c>
      <c r="E46" s="95">
        <f>-CategoryTable81210141620[[#This Row],[Budget]]+CategoryTable81210141620[[#This Row],[Actual to date]]</f>
        <v>0</v>
      </c>
      <c r="F46" s="95"/>
      <c r="G46" s="286"/>
      <c r="H46" s="370">
        <v>43197</v>
      </c>
      <c r="I46" s="285"/>
      <c r="J46" s="285"/>
      <c r="K46" s="285" t="s">
        <v>36</v>
      </c>
      <c r="L46" s="371"/>
      <c r="M46" s="371">
        <v>8.7799999999999994</v>
      </c>
      <c r="N46" s="371">
        <f>IF(ISBLANK(CkReg16_181519[[#This Row],[Withdrawal]]),N45+CkReg16_181519[[#This Row],[Deposit]],N45-CkReg16_181519[[#This Row],[Withdrawal]])</f>
        <v>2476.1480000000006</v>
      </c>
      <c r="O46" s="372">
        <v>43203</v>
      </c>
      <c r="P46" s="371">
        <f>IF(ISBLANK(CkReg16_181519[[#This Row],[Withdrawal]]),P45+CkReg16_181519[[#This Row],[Deposit]],P45-CkReg16_181519[[#This Row],[Withdrawal]])</f>
        <v>11191.147999999999</v>
      </c>
      <c r="Q46" s="376"/>
    </row>
    <row r="47" spans="2:17" s="96" customFormat="1" ht="13.8" x14ac:dyDescent="0.3">
      <c r="B47" s="94" t="s">
        <v>56</v>
      </c>
      <c r="C47" s="95">
        <f>-(SUMIF(CkReg16_181519[Category],"=" &amp;CategoryTable81210141620[[#This Row],[Category]],CkReg16_181519[Withdrawal]))</f>
        <v>-4000</v>
      </c>
      <c r="D47" s="95">
        <v>-4000</v>
      </c>
      <c r="E47" s="95">
        <f>-CategoryTable81210141620[[#This Row],[Budget]]+CategoryTable81210141620[[#This Row],[Actual to date]]</f>
        <v>0</v>
      </c>
      <c r="F47" s="95"/>
      <c r="G47" s="286"/>
      <c r="H47" s="370">
        <v>43197</v>
      </c>
      <c r="I47" s="285"/>
      <c r="J47" s="285"/>
      <c r="K47" s="285" t="s">
        <v>51</v>
      </c>
      <c r="L47" s="371"/>
      <c r="M47" s="371">
        <f>52.54-8.78</f>
        <v>43.76</v>
      </c>
      <c r="N47" s="371">
        <f>IF(ISBLANK(CkReg16_181519[[#This Row],[Withdrawal]]),N46+CkReg16_181519[[#This Row],[Deposit]],N46-CkReg16_181519[[#This Row],[Withdrawal]])</f>
        <v>2519.9080000000008</v>
      </c>
      <c r="O47" s="372">
        <v>43203</v>
      </c>
      <c r="P47" s="371">
        <f>IF(ISBLANK(CkReg16_181519[[#This Row],[Withdrawal]]),P46+CkReg16_181519[[#This Row],[Deposit]],P46-CkReg16_181519[[#This Row],[Withdrawal]])</f>
        <v>11234.907999999999</v>
      </c>
      <c r="Q47" s="376"/>
    </row>
    <row r="48" spans="2:17" s="96" customFormat="1" ht="13.8" x14ac:dyDescent="0.3">
      <c r="B48" s="94" t="s">
        <v>590</v>
      </c>
      <c r="C48" s="95">
        <f>SUMIF(CkReg16_181519[Category],"=" &amp;CategoryTable81210141620[[#This Row],[Category]],CkReg16_181519[Deposit])</f>
        <v>-1.4210854715202004E-14</v>
      </c>
      <c r="D48" s="95">
        <v>0</v>
      </c>
      <c r="E48" s="95">
        <f>-CategoryTable81210141620[[#This Row],[Budget]]+CategoryTable81210141620[[#This Row],[Actual to date]]</f>
        <v>-1.4210854715202004E-14</v>
      </c>
      <c r="F48" s="95"/>
      <c r="G48" s="286"/>
      <c r="H48" s="370">
        <v>43197</v>
      </c>
      <c r="I48" s="285"/>
      <c r="J48" s="285"/>
      <c r="K48" s="285" t="s">
        <v>34</v>
      </c>
      <c r="L48" s="371">
        <v>-24.48</v>
      </c>
      <c r="M48" s="371"/>
      <c r="N48" s="371">
        <f>IF(ISBLANK(CkReg16_181519[[#This Row],[Withdrawal]]),N47+CkReg16_181519[[#This Row],[Deposit]],N47-CkReg16_181519[[#This Row],[Withdrawal]])</f>
        <v>2544.3880000000008</v>
      </c>
      <c r="O48" s="372">
        <v>43203</v>
      </c>
      <c r="P48" s="371">
        <f>IF(ISBLANK(CkReg16_181519[[#This Row],[Withdrawal]]),P47+CkReg16_181519[[#This Row],[Deposit]],P47-CkReg16_181519[[#This Row],[Withdrawal]])</f>
        <v>11259.387999999999</v>
      </c>
      <c r="Q48" s="376"/>
    </row>
    <row r="49" spans="2:17" s="96" customFormat="1" ht="13.8" x14ac:dyDescent="0.3">
      <c r="B49" s="94" t="s">
        <v>58</v>
      </c>
      <c r="C49" s="95">
        <f>-(SUMIF(CkReg16_181519[Category],"=" &amp;CategoryTable81210141620[[#This Row],[Category]],CkReg16_181519[Withdrawal]))</f>
        <v>0</v>
      </c>
      <c r="D49" s="95">
        <v>0</v>
      </c>
      <c r="E49" s="95">
        <f>-CategoryTable81210141620[[#This Row],[Budget]]+CategoryTable81210141620[[#This Row],[Actual to date]]</f>
        <v>0</v>
      </c>
      <c r="F49" s="95"/>
      <c r="G49" s="286"/>
      <c r="H49" s="370">
        <v>43197</v>
      </c>
      <c r="I49" s="285"/>
      <c r="J49" s="285"/>
      <c r="K49" s="285" t="s">
        <v>61</v>
      </c>
      <c r="L49" s="371"/>
      <c r="M49" s="371">
        <v>140</v>
      </c>
      <c r="N49" s="371">
        <f>IF(ISBLANK(CkReg16_181519[[#This Row],[Withdrawal]]),N48+CkReg16_181519[[#This Row],[Deposit]],N48-CkReg16_181519[[#This Row],[Withdrawal]])</f>
        <v>2684.3880000000008</v>
      </c>
      <c r="O49" s="372">
        <v>43203</v>
      </c>
      <c r="P49" s="371">
        <f>IF(ISBLANK(CkReg16_181519[[#This Row],[Withdrawal]]),P48+CkReg16_181519[[#This Row],[Deposit]],P48-CkReg16_181519[[#This Row],[Withdrawal]])</f>
        <v>11399.387999999999</v>
      </c>
      <c r="Q49" s="376"/>
    </row>
    <row r="50" spans="2:17" s="96" customFormat="1" ht="13.8" x14ac:dyDescent="0.3">
      <c r="B50" s="94" t="s">
        <v>59</v>
      </c>
      <c r="C50" s="95">
        <f>-(SUMIF(CkReg16_181519[Category],"=" &amp;CategoryTable81210141620[[#This Row],[Category]],CkReg16_181519[Withdrawal]))</f>
        <v>0</v>
      </c>
      <c r="D50" s="95">
        <v>0</v>
      </c>
      <c r="E50" s="95">
        <f>-CategoryTable81210141620[[#This Row],[Budget]]+CategoryTable81210141620[[#This Row],[Actual to date]]</f>
        <v>0</v>
      </c>
      <c r="F50" s="95"/>
      <c r="G50" s="286">
        <v>3217</v>
      </c>
      <c r="H50" s="370">
        <v>43201</v>
      </c>
      <c r="I50" s="285" t="s">
        <v>750</v>
      </c>
      <c r="J50" s="285" t="s">
        <v>751</v>
      </c>
      <c r="K50" s="285" t="s">
        <v>34</v>
      </c>
      <c r="L50" s="371">
        <v>50</v>
      </c>
      <c r="M50" s="371"/>
      <c r="N50" s="371">
        <f>IF(ISBLANK(CkReg16_181519[[#This Row],[Withdrawal]]),N49+CkReg16_181519[[#This Row],[Deposit]],N49-CkReg16_181519[[#This Row],[Withdrawal]])</f>
        <v>2634.3880000000008</v>
      </c>
      <c r="O50" s="372">
        <v>43263</v>
      </c>
      <c r="P50" s="371">
        <f>IF(ISBLANK(CkReg16_181519[[#This Row],[Withdrawal]]),P49+CkReg16_181519[[#This Row],[Deposit]],P49-CkReg16_181519[[#This Row],[Withdrawal]])</f>
        <v>11349.387999999999</v>
      </c>
      <c r="Q50" s="376"/>
    </row>
    <row r="51" spans="2:17" s="96" customFormat="1" ht="13.8" x14ac:dyDescent="0.3">
      <c r="B51" s="94" t="s">
        <v>60</v>
      </c>
      <c r="C51" s="95">
        <f>SUMIF(CkReg16_181519[Category],"=" &amp;CategoryTable81210141620[[#This Row],[Category]],CkReg16_181519[Deposit])</f>
        <v>6715.35</v>
      </c>
      <c r="D51" s="95">
        <v>5000</v>
      </c>
      <c r="E51" s="95">
        <f>-CategoryTable81210141620[[#This Row],[Budget]]+CategoryTable81210141620[[#This Row],[Actual to date]]</f>
        <v>1715.3500000000004</v>
      </c>
      <c r="F51" s="95"/>
      <c r="G51" s="286">
        <v>3218</v>
      </c>
      <c r="H51" s="370">
        <v>43201</v>
      </c>
      <c r="I51" s="285" t="s">
        <v>750</v>
      </c>
      <c r="J51" s="285" t="s">
        <v>753</v>
      </c>
      <c r="K51" s="285" t="s">
        <v>34</v>
      </c>
      <c r="L51" s="371"/>
      <c r="M51" s="371"/>
      <c r="N51" s="371">
        <f>IF(ISBLANK(CkReg16_181519[[#This Row],[Withdrawal]]),N50+CkReg16_181519[[#This Row],[Deposit]],N50-CkReg16_181519[[#This Row],[Withdrawal]])</f>
        <v>2634.3880000000008</v>
      </c>
      <c r="O51" s="372" t="s">
        <v>735</v>
      </c>
      <c r="P51" s="371">
        <f>IF(ISBLANK(CkReg16_181519[[#This Row],[Withdrawal]]),P50+CkReg16_181519[[#This Row],[Deposit]],P50-CkReg16_181519[[#This Row],[Withdrawal]])</f>
        <v>11349.387999999999</v>
      </c>
      <c r="Q51" s="376"/>
    </row>
    <row r="52" spans="2:17" s="96" customFormat="1" ht="13.8" x14ac:dyDescent="0.3">
      <c r="B52" s="94" t="s">
        <v>61</v>
      </c>
      <c r="C52" s="95">
        <f>SUMIF(CkReg16_181519[Category],"=" &amp;CategoryTable81210141620[[#This Row],[Category]],CkReg16_181519[Deposit])</f>
        <v>13428.11</v>
      </c>
      <c r="D52" s="95">
        <v>16500</v>
      </c>
      <c r="E52" s="95">
        <f>-CategoryTable81210141620[[#This Row],[Budget]]+CategoryTable81210141620[[#This Row],[Actual to date]]</f>
        <v>-3071.8899999999994</v>
      </c>
      <c r="F52" s="95"/>
      <c r="G52" s="286">
        <v>3219</v>
      </c>
      <c r="H52" s="370">
        <v>43201</v>
      </c>
      <c r="I52" s="285" t="s">
        <v>363</v>
      </c>
      <c r="J52" s="285" t="s">
        <v>752</v>
      </c>
      <c r="K52" s="285" t="s">
        <v>34</v>
      </c>
      <c r="L52" s="371">
        <v>300</v>
      </c>
      <c r="M52" s="371"/>
      <c r="N52" s="371">
        <f>IF(ISBLANK(CkReg16_181519[[#This Row],[Withdrawal]]),N51+CkReg16_181519[[#This Row],[Deposit]],N51-CkReg16_181519[[#This Row],[Withdrawal]])</f>
        <v>2334.3880000000008</v>
      </c>
      <c r="O52" s="372">
        <v>43245</v>
      </c>
      <c r="P52" s="371">
        <f>IF(ISBLANK(CkReg16_181519[[#This Row],[Withdrawal]]),P51+CkReg16_181519[[#This Row],[Deposit]],P51-CkReg16_181519[[#This Row],[Withdrawal]])</f>
        <v>11049.387999999999</v>
      </c>
      <c r="Q52" s="376"/>
    </row>
    <row r="53" spans="2:17" s="96" customFormat="1" ht="13.8" x14ac:dyDescent="0.3">
      <c r="B53" s="94" t="s">
        <v>62</v>
      </c>
      <c r="C53" s="95">
        <f>-(SUMIF(CkReg16_181519[Category],"=" &amp;CategoryTable81210141620[[#This Row],[Category]],CkReg16_181519[Withdrawal]))</f>
        <v>-100</v>
      </c>
      <c r="D53" s="95">
        <v>-100</v>
      </c>
      <c r="E53" s="95">
        <f>-CategoryTable81210141620[[#This Row],[Budget]]+CategoryTable81210141620[[#This Row],[Actual to date]]</f>
        <v>0</v>
      </c>
      <c r="F53" s="95"/>
      <c r="G53" s="286"/>
      <c r="H53" s="370">
        <v>43220</v>
      </c>
      <c r="I53" s="285"/>
      <c r="J53" s="285"/>
      <c r="K53" s="285" t="s">
        <v>91</v>
      </c>
      <c r="L53" s="371">
        <v>-0.47</v>
      </c>
      <c r="M53" s="371"/>
      <c r="N53" s="371">
        <f>IF(ISBLANK(CkReg16_181519[[#This Row],[Withdrawal]]),N52+CkReg16_181519[[#This Row],[Deposit]],N52-CkReg16_181519[[#This Row],[Withdrawal]])</f>
        <v>2334.8580000000006</v>
      </c>
      <c r="O53" s="372">
        <v>43220</v>
      </c>
      <c r="P53" s="371">
        <f>IF(ISBLANK(CkReg16_181519[[#This Row],[Withdrawal]]),P52+CkReg16_181519[[#This Row],[Deposit]],P52-CkReg16_181519[[#This Row],[Withdrawal]])</f>
        <v>11049.857999999998</v>
      </c>
      <c r="Q53" s="376">
        <v>43220</v>
      </c>
    </row>
    <row r="54" spans="2:17" s="96" customFormat="1" ht="13.8" x14ac:dyDescent="0.3">
      <c r="B54" s="94" t="s">
        <v>63</v>
      </c>
      <c r="C54" s="95">
        <f>-(SUMIF(CkReg16_181519[Category],"=" &amp;CategoryTable81210141620[[#This Row],[Category]],CkReg16_181519[Withdrawal]))</f>
        <v>0</v>
      </c>
      <c r="D54" s="95">
        <v>-100</v>
      </c>
      <c r="E54" s="95">
        <f>-CategoryTable81210141620[[#This Row],[Budget]]+CategoryTable81210141620[[#This Row],[Actual to date]]</f>
        <v>100</v>
      </c>
      <c r="F54" s="95"/>
      <c r="G54" s="286">
        <v>3220</v>
      </c>
      <c r="H54" s="370">
        <v>43230</v>
      </c>
      <c r="I54" s="285" t="s">
        <v>133</v>
      </c>
      <c r="J54" s="285" t="s">
        <v>754</v>
      </c>
      <c r="K54" s="285" t="s">
        <v>51</v>
      </c>
      <c r="L54" s="371">
        <v>80</v>
      </c>
      <c r="M54" s="371"/>
      <c r="N54" s="371">
        <f>IF(ISBLANK(CkReg16_181519[[#This Row],[Withdrawal]]),N53+CkReg16_181519[[#This Row],[Deposit]],N53-CkReg16_181519[[#This Row],[Withdrawal]])</f>
        <v>2254.8580000000006</v>
      </c>
      <c r="O54" s="372">
        <v>43234</v>
      </c>
      <c r="P54" s="371">
        <f>IF(ISBLANK(CkReg16_181519[[#This Row],[Withdrawal]]),P53+CkReg16_181519[[#This Row],[Deposit]],P53-CkReg16_181519[[#This Row],[Withdrawal]])</f>
        <v>10969.857999999998</v>
      </c>
      <c r="Q54" s="376"/>
    </row>
    <row r="55" spans="2:17" s="96" customFormat="1" ht="13.8" x14ac:dyDescent="0.3">
      <c r="B55" s="94" t="s">
        <v>64</v>
      </c>
      <c r="C55" s="95">
        <f>-(SUMIF(CkReg16_181519[Category],"=" &amp;CategoryTable81210141620[[#This Row],[Category]],CkReg16_181519[Withdrawal]))</f>
        <v>0</v>
      </c>
      <c r="D55" s="95">
        <v>-50</v>
      </c>
      <c r="E55" s="95">
        <f>-CategoryTable81210141620[[#This Row],[Budget]]+CategoryTable81210141620[[#This Row],[Actual to date]]</f>
        <v>50</v>
      </c>
      <c r="F55" s="95"/>
      <c r="G55" s="286"/>
      <c r="H55" s="370">
        <v>43246</v>
      </c>
      <c r="I55" s="285"/>
      <c r="J55" s="285" t="s">
        <v>752</v>
      </c>
      <c r="K55" s="285" t="s">
        <v>33</v>
      </c>
      <c r="L55" s="371"/>
      <c r="M55" s="378">
        <v>225.4</v>
      </c>
      <c r="N55" s="371">
        <f>IF(ISBLANK(CkReg16_181519[[#This Row],[Withdrawal]]),N54+CkReg16_181519[[#This Row],[Deposit]],N54-CkReg16_181519[[#This Row],[Withdrawal]])</f>
        <v>2480.2580000000007</v>
      </c>
      <c r="O55" s="372">
        <v>43249</v>
      </c>
      <c r="P55" s="371">
        <f>IF(ISBLANK(CkReg16_181519[[#This Row],[Withdrawal]]),P54+CkReg16_181519[[#This Row],[Deposit]],P54-CkReg16_181519[[#This Row],[Withdrawal]])</f>
        <v>11195.257999999998</v>
      </c>
      <c r="Q55" s="376"/>
    </row>
    <row r="56" spans="2:17" s="96" customFormat="1" ht="13.8" x14ac:dyDescent="0.3">
      <c r="B56" s="94" t="s">
        <v>65</v>
      </c>
      <c r="C56" s="95">
        <f>-(SUMIF(CkReg16_181519[Category],"=" &amp;CategoryTable81210141620[[#This Row],[Category]],CkReg16_181519[Withdrawal]))</f>
        <v>0</v>
      </c>
      <c r="D56" s="95">
        <v>-50</v>
      </c>
      <c r="E56" s="95">
        <f>-CategoryTable81210141620[[#This Row],[Budget]]+CategoryTable81210141620[[#This Row],[Actual to date]]</f>
        <v>50</v>
      </c>
      <c r="F56" s="95"/>
      <c r="G56" s="286"/>
      <c r="H56" s="370">
        <v>43251</v>
      </c>
      <c r="I56" s="285"/>
      <c r="J56" s="285"/>
      <c r="K56" s="285" t="s">
        <v>91</v>
      </c>
      <c r="L56" s="371">
        <v>-0.48</v>
      </c>
      <c r="M56" s="371"/>
      <c r="N56" s="371">
        <f>IF(ISBLANK(CkReg16_181519[[#This Row],[Withdrawal]]),N55+CkReg16_181519[[#This Row],[Deposit]],N55-CkReg16_181519[[#This Row],[Withdrawal]])</f>
        <v>2480.7380000000007</v>
      </c>
      <c r="O56" s="372">
        <v>43251</v>
      </c>
      <c r="P56" s="371">
        <f>IF(ISBLANK(CkReg16_181519[[#This Row],[Withdrawal]]),P55+CkReg16_181519[[#This Row],[Deposit]],P55-CkReg16_181519[[#This Row],[Withdrawal]])</f>
        <v>11195.737999999998</v>
      </c>
      <c r="Q56" s="376">
        <v>43251</v>
      </c>
    </row>
    <row r="57" spans="2:17" s="96" customFormat="1" ht="13.8" x14ac:dyDescent="0.3">
      <c r="B57" s="94" t="s">
        <v>66</v>
      </c>
      <c r="C57" s="95">
        <f>-(SUMIF(CkReg16_181519[Category],"=" &amp;CategoryTable81210141620[[#This Row],[Category]],CkReg16_181519[Withdrawal]))</f>
        <v>-5018.9799999999996</v>
      </c>
      <c r="D57" s="95">
        <v>-7000</v>
      </c>
      <c r="E57" s="95">
        <f>-CategoryTable81210141620[[#This Row],[Budget]]+CategoryTable81210141620[[#This Row],[Actual to date]]</f>
        <v>1981.0200000000004</v>
      </c>
      <c r="F57" s="95"/>
      <c r="G57" s="286">
        <v>3221</v>
      </c>
      <c r="H57" s="370">
        <v>43253</v>
      </c>
      <c r="I57" s="285" t="s">
        <v>92</v>
      </c>
      <c r="J57" s="285" t="s">
        <v>738</v>
      </c>
      <c r="K57" s="285" t="s">
        <v>43</v>
      </c>
      <c r="L57" s="371">
        <v>75</v>
      </c>
      <c r="M57" s="371"/>
      <c r="N57" s="371">
        <f>IF(ISBLANK(CkReg16_181519[[#This Row],[Withdrawal]]),N56+CkReg16_181519[[#This Row],[Deposit]],N56-CkReg16_181519[[#This Row],[Withdrawal]])</f>
        <v>2405.7380000000007</v>
      </c>
      <c r="O57" s="372">
        <v>43263</v>
      </c>
      <c r="P57" s="371">
        <f>IF(ISBLANK(CkReg16_181519[[#This Row],[Withdrawal]]),P56+CkReg16_181519[[#This Row],[Deposit]],P56-CkReg16_181519[[#This Row],[Withdrawal]])</f>
        <v>11120.737999999998</v>
      </c>
      <c r="Q57" s="376"/>
    </row>
    <row r="58" spans="2:17" s="96" customFormat="1" ht="13.8" x14ac:dyDescent="0.3">
      <c r="B58" s="94" t="s">
        <v>67</v>
      </c>
      <c r="C58" s="95">
        <f>-(SUMIF(CkReg16_181519[Category],"=" &amp;CategoryTable81210141620[[#This Row],[Category]],CkReg16_181519[Withdrawal]))</f>
        <v>-4165.5600000000004</v>
      </c>
      <c r="D58" s="95">
        <v>-4000</v>
      </c>
      <c r="E58" s="95">
        <f>-CategoryTable81210141620[[#This Row],[Budget]]+CategoryTable81210141620[[#This Row],[Actual to date]]</f>
        <v>-165.5600000000004</v>
      </c>
      <c r="F58" s="95"/>
      <c r="G58" s="286">
        <v>3222</v>
      </c>
      <c r="H58" s="370">
        <v>43253</v>
      </c>
      <c r="I58" s="285" t="s">
        <v>755</v>
      </c>
      <c r="J58" s="285" t="s">
        <v>756</v>
      </c>
      <c r="K58" s="285" t="s">
        <v>68</v>
      </c>
      <c r="L58" s="371">
        <v>98</v>
      </c>
      <c r="M58" s="377"/>
      <c r="N58" s="371">
        <f>IF(ISBLANK(CkReg16_181519[[#This Row],[Withdrawal]]),N57+CkReg16_181519[[#This Row],[Deposit]],N57-CkReg16_181519[[#This Row],[Withdrawal]])</f>
        <v>2307.7380000000007</v>
      </c>
      <c r="O58" s="372">
        <v>43333</v>
      </c>
      <c r="P58" s="371">
        <f>IF(ISBLANK(CkReg16_181519[[#This Row],[Withdrawal]]),P57+CkReg16_181519[[#This Row],[Deposit]],P57-CkReg16_181519[[#This Row],[Withdrawal]])</f>
        <v>11022.737999999998</v>
      </c>
      <c r="Q58" s="376"/>
    </row>
    <row r="59" spans="2:17" s="96" customFormat="1" ht="13.8" x14ac:dyDescent="0.3">
      <c r="B59" s="94" t="s">
        <v>68</v>
      </c>
      <c r="C59" s="95">
        <f>-(SUMIF(CkReg16_181519[Category],"=" &amp;CategoryTable81210141620[[#This Row],[Category]],CkReg16_181519[Withdrawal]))</f>
        <v>-493.35</v>
      </c>
      <c r="D59" s="95">
        <v>-800</v>
      </c>
      <c r="E59" s="95">
        <f>-CategoryTable81210141620[[#This Row],[Budget]]+CategoryTable81210141620[[#This Row],[Actual to date]]</f>
        <v>306.64999999999998</v>
      </c>
      <c r="F59" s="95"/>
      <c r="G59" s="286"/>
      <c r="H59" s="370">
        <v>43253</v>
      </c>
      <c r="I59" s="285"/>
      <c r="J59" s="285"/>
      <c r="K59" s="285" t="s">
        <v>32</v>
      </c>
      <c r="L59" s="371"/>
      <c r="M59" s="371">
        <f>75+5+10+30+60+116.37</f>
        <v>296.37</v>
      </c>
      <c r="N59" s="371">
        <f>IF(ISBLANK(CkReg16_181519[[#This Row],[Withdrawal]]),N58+CkReg16_181519[[#This Row],[Deposit]],N58-CkReg16_181519[[#This Row],[Withdrawal]])</f>
        <v>2604.1080000000006</v>
      </c>
      <c r="O59" s="372">
        <v>43318</v>
      </c>
      <c r="P59" s="371">
        <f>IF(ISBLANK(CkReg16_181519[[#This Row],[Withdrawal]]),P58+CkReg16_181519[[#This Row],[Deposit]],P58-CkReg16_181519[[#This Row],[Withdrawal]])</f>
        <v>11319.107999999998</v>
      </c>
      <c r="Q59" s="376"/>
    </row>
    <row r="60" spans="2:17" s="96" customFormat="1" ht="13.8" x14ac:dyDescent="0.3">
      <c r="B60" s="94" t="s">
        <v>69</v>
      </c>
      <c r="C60" s="95">
        <f>-(SUMIF(CkReg16_181519[Category],"=" &amp;CategoryTable81210141620[[#This Row],[Category]],CkReg16_181519[Withdrawal]))</f>
        <v>-6245.49</v>
      </c>
      <c r="D60" s="95">
        <v>-6000</v>
      </c>
      <c r="E60" s="95">
        <f>-CategoryTable81210141620[[#This Row],[Budget]]+CategoryTable81210141620[[#This Row],[Actual to date]]</f>
        <v>-245.48999999999978</v>
      </c>
      <c r="F60" s="95"/>
      <c r="G60" s="286"/>
      <c r="H60" s="370">
        <v>43253</v>
      </c>
      <c r="I60" s="285"/>
      <c r="J60" s="285" t="s">
        <v>757</v>
      </c>
      <c r="K60" s="285" t="s">
        <v>33</v>
      </c>
      <c r="L60" s="371"/>
      <c r="M60" s="371">
        <v>75.47</v>
      </c>
      <c r="N60" s="371">
        <f>IF(ISBLANK(CkReg16_181519[[#This Row],[Withdrawal]]),N59+CkReg16_181519[[#This Row],[Deposit]],N59-CkReg16_181519[[#This Row],[Withdrawal]])</f>
        <v>2679.5780000000004</v>
      </c>
      <c r="O60" s="372">
        <v>43318</v>
      </c>
      <c r="P60" s="371">
        <f>IF(ISBLANK(CkReg16_181519[[#This Row],[Withdrawal]]),P59+CkReg16_181519[[#This Row],[Deposit]],P59-CkReg16_181519[[#This Row],[Withdrawal]])</f>
        <v>11394.577999999998</v>
      </c>
      <c r="Q60" s="376"/>
    </row>
    <row r="61" spans="2:17" s="96" customFormat="1" ht="13.8" x14ac:dyDescent="0.3">
      <c r="B61" s="94" t="s">
        <v>70</v>
      </c>
      <c r="C61" s="95">
        <f>-(SUMIF(CkReg16_181519[Category],"=" &amp;CategoryTable81210141620[[#This Row],[Category]],CkReg16_181519[Withdrawal]))</f>
        <v>-560.82999999999993</v>
      </c>
      <c r="D61" s="95">
        <v>-700</v>
      </c>
      <c r="E61" s="95">
        <f>-CategoryTable81210141620[[#This Row],[Budget]]+CategoryTable81210141620[[#This Row],[Actual to date]]</f>
        <v>139.17000000000007</v>
      </c>
      <c r="F61" s="95"/>
      <c r="G61" s="286"/>
      <c r="H61" s="370">
        <v>43277</v>
      </c>
      <c r="I61" s="285"/>
      <c r="J61" s="285"/>
      <c r="K61" s="285" t="s">
        <v>590</v>
      </c>
      <c r="L61" s="371"/>
      <c r="M61" s="371">
        <v>250</v>
      </c>
      <c r="N61" s="371">
        <f>IF(ISBLANK(CkReg16_181519[[#This Row],[Withdrawal]]),N60+CkReg16_181519[[#This Row],[Deposit]],N60-CkReg16_181519[[#This Row],[Withdrawal]])</f>
        <v>2929.5780000000004</v>
      </c>
      <c r="O61" s="372">
        <v>43282</v>
      </c>
      <c r="P61" s="371">
        <f>IF(ISBLANK(CkReg16_181519[[#This Row],[Withdrawal]]),P60+CkReg16_181519[[#This Row],[Deposit]],P60-CkReg16_181519[[#This Row],[Withdrawal]])</f>
        <v>11644.577999999998</v>
      </c>
      <c r="Q61" s="376"/>
    </row>
    <row r="62" spans="2:17" s="96" customFormat="1" ht="13.8" x14ac:dyDescent="0.3">
      <c r="B62" s="94" t="s">
        <v>71</v>
      </c>
      <c r="C62" s="95">
        <f>-(SUMIF(CkReg16_181519[Category],"=" &amp;CategoryTable81210141620[[#This Row],[Category]],CkReg16_181519[Withdrawal]))</f>
        <v>-9.0399999999999991</v>
      </c>
      <c r="D62" s="95">
        <v>-50</v>
      </c>
      <c r="E62" s="95">
        <f>-CategoryTable81210141620[[#This Row],[Budget]]+CategoryTable81210141620[[#This Row],[Actual to date]]</f>
        <v>40.96</v>
      </c>
      <c r="F62" s="95"/>
      <c r="G62" s="286"/>
      <c r="H62" s="370">
        <v>43281</v>
      </c>
      <c r="I62" s="285"/>
      <c r="J62" s="285"/>
      <c r="K62" s="285" t="s">
        <v>91</v>
      </c>
      <c r="L62" s="371">
        <v>-0.45</v>
      </c>
      <c r="M62" s="377"/>
      <c r="N62" s="371">
        <f>IF(ISBLANK(CkReg16_181519[[#This Row],[Withdrawal]]),N61+CkReg16_181519[[#This Row],[Deposit]],N61-CkReg16_181519[[#This Row],[Withdrawal]])</f>
        <v>2930.0280000000002</v>
      </c>
      <c r="O62" s="372">
        <v>43281</v>
      </c>
      <c r="P62" s="371">
        <f>IF(ISBLANK(CkReg16_181519[[#This Row],[Withdrawal]]),P61+CkReg16_181519[[#This Row],[Deposit]],P61-CkReg16_181519[[#This Row],[Withdrawal]])</f>
        <v>11645.027999999998</v>
      </c>
      <c r="Q62" s="376">
        <v>43281</v>
      </c>
    </row>
    <row r="63" spans="2:17" s="96" customFormat="1" ht="13.8" x14ac:dyDescent="0.3">
      <c r="B63" s="94" t="s">
        <v>72</v>
      </c>
      <c r="C63" s="95">
        <f>-(SUMIF(CkReg16_181519[Category],"=" &amp;CategoryTable81210141620[[#This Row],[Category]],CkReg16_181519[Withdrawal]))</f>
        <v>0</v>
      </c>
      <c r="D63" s="95">
        <v>-250</v>
      </c>
      <c r="E63" s="95">
        <f>-CategoryTable81210141620[[#This Row],[Budget]]+CategoryTable81210141620[[#This Row],[Actual to date]]</f>
        <v>250</v>
      </c>
      <c r="F63" s="95"/>
      <c r="G63" s="286">
        <v>3223</v>
      </c>
      <c r="H63" s="370">
        <v>43294</v>
      </c>
      <c r="I63" s="285" t="s">
        <v>758</v>
      </c>
      <c r="J63" s="285" t="s">
        <v>759</v>
      </c>
      <c r="K63" s="285" t="s">
        <v>67</v>
      </c>
      <c r="L63" s="371">
        <v>500</v>
      </c>
      <c r="M63" s="377"/>
      <c r="N63" s="371">
        <f>IF(ISBLANK(CkReg16_181519[[#This Row],[Withdrawal]]),N62+CkReg16_181519[[#This Row],[Deposit]],N62-CkReg16_181519[[#This Row],[Withdrawal]])</f>
        <v>2430.0280000000002</v>
      </c>
      <c r="O63" s="372">
        <v>43300</v>
      </c>
      <c r="P63" s="371">
        <f>IF(ISBLANK(CkReg16_181519[[#This Row],[Withdrawal]]),P62+CkReg16_181519[[#This Row],[Deposit]],P62-CkReg16_181519[[#This Row],[Withdrawal]])</f>
        <v>11145.027999999998</v>
      </c>
      <c r="Q63" s="376"/>
    </row>
    <row r="64" spans="2:17" s="96" customFormat="1" ht="13.8" x14ac:dyDescent="0.3">
      <c r="B64" s="94" t="s">
        <v>73</v>
      </c>
      <c r="C64" s="95">
        <f>-(SUMIF(CkReg16_181519[Category],"=" &amp;CategoryTable81210141620[[#This Row],[Category]],CkReg16_181519[Withdrawal]))</f>
        <v>-100.71000000000001</v>
      </c>
      <c r="D64" s="95">
        <v>-100</v>
      </c>
      <c r="E64" s="95">
        <f>-CategoryTable81210141620[[#This Row],[Budget]]+CategoryTable81210141620[[#This Row],[Actual to date]]</f>
        <v>-0.71000000000000796</v>
      </c>
      <c r="F64" s="95"/>
      <c r="G64" s="286"/>
      <c r="H64" s="370">
        <v>43312</v>
      </c>
      <c r="I64" s="285"/>
      <c r="J64" s="285"/>
      <c r="K64" s="285" t="s">
        <v>91</v>
      </c>
      <c r="L64" s="371">
        <v>-0.47</v>
      </c>
      <c r="M64" s="377"/>
      <c r="N64" s="371">
        <f>IF(ISBLANK(CkReg16_181519[[#This Row],[Withdrawal]]),N63+CkReg16_181519[[#This Row],[Deposit]],N63-CkReg16_181519[[#This Row],[Withdrawal]])</f>
        <v>2430.498</v>
      </c>
      <c r="O64" s="372">
        <v>43312</v>
      </c>
      <c r="P64" s="371">
        <f>IF(ISBLANK(CkReg16_181519[[#This Row],[Withdrawal]]),P63+CkReg16_181519[[#This Row],[Deposit]],P63-CkReg16_181519[[#This Row],[Withdrawal]])</f>
        <v>11145.497999999998</v>
      </c>
      <c r="Q64" s="376">
        <v>43312</v>
      </c>
    </row>
    <row r="65" spans="2:17" s="96" customFormat="1" ht="13.8" x14ac:dyDescent="0.3">
      <c r="B65" s="94" t="s">
        <v>74</v>
      </c>
      <c r="C65" s="95">
        <f>-(SUMIF(CkReg16_181519[Category],"=" &amp;CategoryTable81210141620[[#This Row],[Category]],CkReg16_181519[Withdrawal]))</f>
        <v>0</v>
      </c>
      <c r="D65" s="95">
        <v>-100</v>
      </c>
      <c r="E65" s="95">
        <f>-CategoryTable81210141620[[#This Row],[Budget]]+CategoryTable81210141620[[#This Row],[Actual to date]]</f>
        <v>100</v>
      </c>
      <c r="F65" s="95"/>
      <c r="G65" s="286">
        <v>3224</v>
      </c>
      <c r="H65" s="370">
        <v>43313</v>
      </c>
      <c r="I65" s="285" t="s">
        <v>362</v>
      </c>
      <c r="J65" s="285" t="s">
        <v>39</v>
      </c>
      <c r="K65" s="285" t="s">
        <v>39</v>
      </c>
      <c r="L65" s="371">
        <v>34.869999999999997</v>
      </c>
      <c r="M65" s="377"/>
      <c r="N65" s="371">
        <f>IF(ISBLANK(CkReg16_181519[[#This Row],[Withdrawal]]),N64+CkReg16_181519[[#This Row],[Deposit]],N64-CkReg16_181519[[#This Row],[Withdrawal]])</f>
        <v>2395.6280000000002</v>
      </c>
      <c r="O65" s="372">
        <v>43328</v>
      </c>
      <c r="P65" s="371">
        <f>IF(ISBLANK(CkReg16_181519[[#This Row],[Withdrawal]]),P64+CkReg16_181519[[#This Row],[Deposit]],P64-CkReg16_181519[[#This Row],[Withdrawal]])</f>
        <v>11110.627999999997</v>
      </c>
      <c r="Q65" s="376"/>
    </row>
    <row r="66" spans="2:17" s="96" customFormat="1" ht="13.8" x14ac:dyDescent="0.3">
      <c r="B66" s="94"/>
      <c r="C66" s="95">
        <f>SUBTOTAL(109,C18:C65)</f>
        <v>4252.6780000000053</v>
      </c>
      <c r="D66" s="95">
        <f>SUBTOTAL(109,D18:D65)</f>
        <v>992.81800000001385</v>
      </c>
      <c r="E66" s="95">
        <f>SUBTOTAL(109,E18:E65)</f>
        <v>3259.8599999999865</v>
      </c>
      <c r="G66" s="286">
        <v>3224</v>
      </c>
      <c r="H66" s="370">
        <v>43313</v>
      </c>
      <c r="I66" s="285" t="s">
        <v>362</v>
      </c>
      <c r="J66" s="285" t="s">
        <v>39</v>
      </c>
      <c r="K66" s="285" t="s">
        <v>36</v>
      </c>
      <c r="L66" s="371">
        <v>14.94</v>
      </c>
      <c r="M66" s="378"/>
      <c r="N66" s="371">
        <f>IF(ISBLANK(CkReg16_181519[[#This Row],[Withdrawal]]),N65+CkReg16_181519[[#This Row],[Deposit]],N65-CkReg16_181519[[#This Row],[Withdrawal]])</f>
        <v>2380.6880000000001</v>
      </c>
      <c r="O66" s="372">
        <v>43328</v>
      </c>
      <c r="P66" s="371">
        <f>IF(ISBLANK(CkReg16_181519[[#This Row],[Withdrawal]]),P65+CkReg16_181519[[#This Row],[Deposit]],P65-CkReg16_181519[[#This Row],[Withdrawal]])</f>
        <v>11095.687999999996</v>
      </c>
      <c r="Q66" s="376"/>
    </row>
    <row r="67" spans="2:17" s="96" customFormat="1" ht="13.8" x14ac:dyDescent="0.3">
      <c r="B67" s="94"/>
      <c r="C67" s="95">
        <f>SUM(C51:C65)</f>
        <v>3449.4999999999982</v>
      </c>
      <c r="D67" s="95">
        <f>SUM(D51:D65)</f>
        <v>2200</v>
      </c>
      <c r="E67" s="95">
        <f>SUM(E51:E65)</f>
        <v>1249.5000000000014</v>
      </c>
      <c r="G67" s="286">
        <v>3224</v>
      </c>
      <c r="H67" s="370">
        <v>43313</v>
      </c>
      <c r="I67" s="285" t="s">
        <v>362</v>
      </c>
      <c r="J67" s="285" t="s">
        <v>744</v>
      </c>
      <c r="K67" s="285" t="s">
        <v>70</v>
      </c>
      <c r="L67" s="371">
        <v>126</v>
      </c>
      <c r="M67" s="371"/>
      <c r="N67" s="371">
        <f>IF(ISBLANK(CkReg16_181519[[#This Row],[Withdrawal]]),N66+CkReg16_181519[[#This Row],[Deposit]],N66-CkReg16_181519[[#This Row],[Withdrawal]])</f>
        <v>2254.6880000000001</v>
      </c>
      <c r="O67" s="372">
        <v>43328</v>
      </c>
      <c r="P67" s="371">
        <f>IF(ISBLANK(CkReg16_181519[[#This Row],[Withdrawal]]),P66+CkReg16_181519[[#This Row],[Deposit]],P66-CkReg16_181519[[#This Row],[Withdrawal]])</f>
        <v>10969.687999999996</v>
      </c>
      <c r="Q67" s="376"/>
    </row>
    <row r="68" spans="2:17" s="96" customFormat="1" ht="13.8" x14ac:dyDescent="0.3">
      <c r="B68" s="96" t="s">
        <v>729</v>
      </c>
      <c r="C68" s="180"/>
      <c r="D68" s="180"/>
      <c r="E68" s="180"/>
      <c r="G68" s="286">
        <v>3224</v>
      </c>
      <c r="H68" s="370">
        <v>43313</v>
      </c>
      <c r="I68" s="285" t="s">
        <v>362</v>
      </c>
      <c r="J68" s="285" t="s">
        <v>760</v>
      </c>
      <c r="K68" s="285" t="s">
        <v>68</v>
      </c>
      <c r="L68" s="371">
        <v>39.78</v>
      </c>
      <c r="M68" s="371"/>
      <c r="N68" s="371">
        <f>IF(ISBLANK(CkReg16_181519[[#This Row],[Withdrawal]]),N67+CkReg16_181519[[#This Row],[Deposit]],N67-CkReg16_181519[[#This Row],[Withdrawal]])</f>
        <v>2214.9079999999999</v>
      </c>
      <c r="O68" s="372">
        <v>43328</v>
      </c>
      <c r="P68" s="371">
        <f>IF(ISBLANK(CkReg16_181519[[#This Row],[Withdrawal]]),P67+CkReg16_181519[[#This Row],[Deposit]],P67-CkReg16_181519[[#This Row],[Withdrawal]])</f>
        <v>10929.907999999996</v>
      </c>
      <c r="Q68" s="376"/>
    </row>
    <row r="69" spans="2:17" s="96" customFormat="1" ht="13.8" x14ac:dyDescent="0.3">
      <c r="B69" s="96" t="s">
        <v>730</v>
      </c>
      <c r="G69" s="286">
        <v>3225</v>
      </c>
      <c r="H69" s="370">
        <v>43313</v>
      </c>
      <c r="I69" s="285" t="s">
        <v>156</v>
      </c>
      <c r="J69" s="285" t="s">
        <v>761</v>
      </c>
      <c r="K69" s="285" t="s">
        <v>44</v>
      </c>
      <c r="L69" s="371">
        <v>211.61</v>
      </c>
      <c r="M69" s="371"/>
      <c r="N69" s="371">
        <f>IF(ISBLANK(CkReg16_181519[[#This Row],[Withdrawal]]),N68+CkReg16_181519[[#This Row],[Deposit]],N68-CkReg16_181519[[#This Row],[Withdrawal]])</f>
        <v>2003.2979999999998</v>
      </c>
      <c r="O69" s="372">
        <v>43361</v>
      </c>
      <c r="P69" s="371">
        <f>IF(ISBLANK(CkReg16_181519[[#This Row],[Withdrawal]]),P68+CkReg16_181519[[#This Row],[Deposit]],P68-CkReg16_181519[[#This Row],[Withdrawal]])</f>
        <v>10718.297999999995</v>
      </c>
      <c r="Q69" s="376"/>
    </row>
    <row r="70" spans="2:17" s="96" customFormat="1" ht="13.8" x14ac:dyDescent="0.3">
      <c r="D70" s="180"/>
      <c r="G70" s="286">
        <v>3251</v>
      </c>
      <c r="H70" s="370">
        <v>43316</v>
      </c>
      <c r="I70" s="285" t="s">
        <v>92</v>
      </c>
      <c r="J70" s="285" t="s">
        <v>738</v>
      </c>
      <c r="K70" s="285" t="s">
        <v>43</v>
      </c>
      <c r="L70" s="371">
        <v>75</v>
      </c>
      <c r="M70" s="371"/>
      <c r="N70" s="371">
        <f>IF(ISBLANK(CkReg16_181519[[#This Row],[Withdrawal]]),N69+CkReg16_181519[[#This Row],[Deposit]],N69-CkReg16_181519[[#This Row],[Withdrawal]])</f>
        <v>1928.2979999999998</v>
      </c>
      <c r="O70" s="372">
        <v>43353</v>
      </c>
      <c r="P70" s="371">
        <f>IF(ISBLANK(CkReg16_181519[[#This Row],[Withdrawal]]),P69+CkReg16_181519[[#This Row],[Deposit]],P69-CkReg16_181519[[#This Row],[Withdrawal]])</f>
        <v>10643.297999999995</v>
      </c>
      <c r="Q70" s="376"/>
    </row>
    <row r="71" spans="2:17" customFormat="1" ht="13.8" x14ac:dyDescent="0.3">
      <c r="G71" s="379">
        <v>3252</v>
      </c>
      <c r="H71" s="370">
        <v>43316</v>
      </c>
      <c r="I71" s="285" t="s">
        <v>92</v>
      </c>
      <c r="J71" s="285" t="s">
        <v>762</v>
      </c>
      <c r="K71" s="285" t="s">
        <v>43</v>
      </c>
      <c r="L71" s="371">
        <v>75</v>
      </c>
      <c r="M71" s="380"/>
      <c r="N71" s="371">
        <f>IF(ISBLANK(CkReg16_181519[[#This Row],[Withdrawal]]),N70+CkReg16_181519[[#This Row],[Deposit]],N70-CkReg16_181519[[#This Row],[Withdrawal]])</f>
        <v>1853.2979999999998</v>
      </c>
      <c r="O71" s="372">
        <v>43353</v>
      </c>
      <c r="P71" s="371">
        <f>IF(ISBLANK(CkReg16_181519[[#This Row],[Withdrawal]]),P70+CkReg16_181519[[#This Row],[Deposit]],P70-CkReg16_181519[[#This Row],[Withdrawal]])</f>
        <v>10568.297999999995</v>
      </c>
      <c r="Q71" s="382"/>
    </row>
    <row r="72" spans="2:17" customFormat="1" ht="13.8" x14ac:dyDescent="0.3">
      <c r="G72" s="379">
        <v>3252</v>
      </c>
      <c r="H72" s="370">
        <v>43316</v>
      </c>
      <c r="I72" s="285" t="s">
        <v>92</v>
      </c>
      <c r="J72" s="285" t="s">
        <v>763</v>
      </c>
      <c r="K72" s="285" t="s">
        <v>34</v>
      </c>
      <c r="L72" s="371">
        <v>50</v>
      </c>
      <c r="M72" s="379"/>
      <c r="N72" s="371">
        <f>IF(ISBLANK(CkReg16_181519[[#This Row],[Withdrawal]]),N71+CkReg16_181519[[#This Row],[Deposit]],N71-CkReg16_181519[[#This Row],[Withdrawal]])</f>
        <v>1803.2979999999998</v>
      </c>
      <c r="O72" s="372">
        <v>43353</v>
      </c>
      <c r="P72" s="371">
        <f>IF(ISBLANK(CkReg16_181519[[#This Row],[Withdrawal]]),P71+CkReg16_181519[[#This Row],[Deposit]],P71-CkReg16_181519[[#This Row],[Withdrawal]])</f>
        <v>10518.297999999995</v>
      </c>
      <c r="Q72" s="382"/>
    </row>
    <row r="73" spans="2:17" s="96" customFormat="1" ht="13.8" x14ac:dyDescent="0.3">
      <c r="G73" s="286">
        <v>3253</v>
      </c>
      <c r="H73" s="370">
        <v>43316</v>
      </c>
      <c r="I73" s="285" t="s">
        <v>84</v>
      </c>
      <c r="J73" s="285" t="s">
        <v>764</v>
      </c>
      <c r="K73" s="285" t="s">
        <v>68</v>
      </c>
      <c r="L73" s="371">
        <v>55.57</v>
      </c>
      <c r="M73" s="371"/>
      <c r="N73" s="371">
        <f>IF(ISBLANK(CkReg16_181519[[#This Row],[Withdrawal]]),N72+CkReg16_181519[[#This Row],[Deposit]],N72-CkReg16_181519[[#This Row],[Withdrawal]])</f>
        <v>1747.7279999999998</v>
      </c>
      <c r="O73" s="372">
        <v>43318</v>
      </c>
      <c r="P73" s="371">
        <f>IF(ISBLANK(CkReg16_181519[[#This Row],[Withdrawal]]),P72+CkReg16_181519[[#This Row],[Deposit]],P72-CkReg16_181519[[#This Row],[Withdrawal]])</f>
        <v>10462.727999999996</v>
      </c>
      <c r="Q73" s="376"/>
    </row>
    <row r="74" spans="2:17" s="96" customFormat="1" ht="13.8" x14ac:dyDescent="0.3">
      <c r="G74" s="286">
        <v>3254</v>
      </c>
      <c r="H74" s="370">
        <v>43316</v>
      </c>
      <c r="I74" s="285" t="s">
        <v>765</v>
      </c>
      <c r="J74" s="285" t="s">
        <v>412</v>
      </c>
      <c r="K74" s="285" t="s">
        <v>64</v>
      </c>
      <c r="L74" s="371"/>
      <c r="M74" s="371"/>
      <c r="N74" s="371">
        <f>IF(ISBLANK(CkReg16_181519[[#This Row],[Withdrawal]]),N73+CkReg16_181519[[#This Row],[Deposit]],N73-CkReg16_181519[[#This Row],[Withdrawal]])</f>
        <v>1747.7279999999998</v>
      </c>
      <c r="O74" s="372" t="s">
        <v>735</v>
      </c>
      <c r="P74" s="371">
        <f>IF(ISBLANK(CkReg16_181519[[#This Row],[Withdrawal]]),P73+CkReg16_181519[[#This Row],[Deposit]],P73-CkReg16_181519[[#This Row],[Withdrawal]])</f>
        <v>10462.727999999996</v>
      </c>
      <c r="Q74" s="376"/>
    </row>
    <row r="75" spans="2:17" s="96" customFormat="1" ht="13.8" x14ac:dyDescent="0.3">
      <c r="G75" s="286">
        <v>3254</v>
      </c>
      <c r="H75" s="370">
        <v>43316</v>
      </c>
      <c r="I75" s="285" t="s">
        <v>765</v>
      </c>
      <c r="J75" s="285" t="s">
        <v>412</v>
      </c>
      <c r="K75" s="285" t="s">
        <v>65</v>
      </c>
      <c r="L75" s="371"/>
      <c r="M75" s="371"/>
      <c r="N75" s="371">
        <f>IF(ISBLANK(CkReg16_181519[[#This Row],[Withdrawal]]),N74+CkReg16_181519[[#This Row],[Deposit]],N74-CkReg16_181519[[#This Row],[Withdrawal]])</f>
        <v>1747.7279999999998</v>
      </c>
      <c r="O75" s="372" t="s">
        <v>735</v>
      </c>
      <c r="P75" s="371">
        <f>IF(ISBLANK(CkReg16_181519[[#This Row],[Withdrawal]]),P74+CkReg16_181519[[#This Row],[Deposit]],P74-CkReg16_181519[[#This Row],[Withdrawal]])</f>
        <v>10462.727999999996</v>
      </c>
      <c r="Q75" s="376"/>
    </row>
    <row r="76" spans="2:17" s="96" customFormat="1" ht="13.8" x14ac:dyDescent="0.3">
      <c r="G76" s="286">
        <v>3255</v>
      </c>
      <c r="H76" s="370">
        <v>43316</v>
      </c>
      <c r="I76" s="285" t="s">
        <v>128</v>
      </c>
      <c r="J76" s="285" t="s">
        <v>412</v>
      </c>
      <c r="K76" s="285" t="s">
        <v>62</v>
      </c>
      <c r="L76" s="371">
        <v>100</v>
      </c>
      <c r="M76" s="371"/>
      <c r="N76" s="371">
        <f>IF(ISBLANK(CkReg16_181519[[#This Row],[Withdrawal]]),N75+CkReg16_181519[[#This Row],[Deposit]],N75-CkReg16_181519[[#This Row],[Withdrawal]])</f>
        <v>1647.7279999999998</v>
      </c>
      <c r="O76" s="372">
        <v>43318</v>
      </c>
      <c r="P76" s="371">
        <f>IF(ISBLANK(CkReg16_181519[[#This Row],[Withdrawal]]),P75+CkReg16_181519[[#This Row],[Deposit]],P75-CkReg16_181519[[#This Row],[Withdrawal]])</f>
        <v>10362.727999999996</v>
      </c>
      <c r="Q76" s="376"/>
    </row>
    <row r="77" spans="2:17" s="96" customFormat="1" ht="13.8" x14ac:dyDescent="0.3">
      <c r="G77" s="286">
        <v>3255</v>
      </c>
      <c r="H77" s="370">
        <v>43316</v>
      </c>
      <c r="I77" s="285" t="s">
        <v>128</v>
      </c>
      <c r="J77" s="285" t="s">
        <v>766</v>
      </c>
      <c r="K77" s="285" t="s">
        <v>34</v>
      </c>
      <c r="L77" s="371">
        <v>41.11</v>
      </c>
      <c r="M77" s="371"/>
      <c r="N77" s="371">
        <f>IF(ISBLANK(CkReg16_181519[[#This Row],[Withdrawal]]),N76+CkReg16_181519[[#This Row],[Deposit]],N76-CkReg16_181519[[#This Row],[Withdrawal]])</f>
        <v>1606.6179999999999</v>
      </c>
      <c r="O77" s="372">
        <v>43318</v>
      </c>
      <c r="P77" s="371">
        <f>IF(ISBLANK(CkReg16_181519[[#This Row],[Withdrawal]]),P76+CkReg16_181519[[#This Row],[Deposit]],P76-CkReg16_181519[[#This Row],[Withdrawal]])</f>
        <v>10321.617999999995</v>
      </c>
      <c r="Q77" s="376"/>
    </row>
    <row r="78" spans="2:17" s="96" customFormat="1" ht="13.8" x14ac:dyDescent="0.3">
      <c r="G78" s="286">
        <v>3256</v>
      </c>
      <c r="H78" s="370">
        <v>43316</v>
      </c>
      <c r="I78" s="285" t="s">
        <v>133</v>
      </c>
      <c r="J78" s="285" t="s">
        <v>767</v>
      </c>
      <c r="K78" s="285" t="s">
        <v>52</v>
      </c>
      <c r="L78" s="371">
        <v>5.31</v>
      </c>
      <c r="M78" s="371"/>
      <c r="N78" s="371">
        <f>IF(ISBLANK(CkReg16_181519[[#This Row],[Withdrawal]]),N77+CkReg16_181519[[#This Row],[Deposit]],N77-CkReg16_181519[[#This Row],[Withdrawal]])</f>
        <v>1601.308</v>
      </c>
      <c r="O78" s="372">
        <v>43318</v>
      </c>
      <c r="P78" s="371">
        <f>IF(ISBLANK(CkReg16_181519[[#This Row],[Withdrawal]]),P77+CkReg16_181519[[#This Row],[Deposit]],P77-CkReg16_181519[[#This Row],[Withdrawal]])</f>
        <v>10316.307999999995</v>
      </c>
      <c r="Q78" s="376"/>
    </row>
    <row r="79" spans="2:17" s="96" customFormat="1" ht="13.8" x14ac:dyDescent="0.3">
      <c r="G79" s="286">
        <v>3256</v>
      </c>
      <c r="H79" s="370">
        <v>43316</v>
      </c>
      <c r="I79" s="285" t="s">
        <v>133</v>
      </c>
      <c r="J79" s="285" t="s">
        <v>754</v>
      </c>
      <c r="K79" s="285" t="s">
        <v>51</v>
      </c>
      <c r="L79" s="371">
        <v>100</v>
      </c>
      <c r="M79" s="371"/>
      <c r="N79" s="371">
        <f>IF(ISBLANK(CkReg16_181519[[#This Row],[Withdrawal]]),N78+CkReg16_181519[[#This Row],[Deposit]],N78-CkReg16_181519[[#This Row],[Withdrawal]])</f>
        <v>1501.308</v>
      </c>
      <c r="O79" s="372">
        <v>43318</v>
      </c>
      <c r="P79" s="371">
        <f>IF(ISBLANK(CkReg16_181519[[#This Row],[Withdrawal]]),P78+CkReg16_181519[[#This Row],[Deposit]],P78-CkReg16_181519[[#This Row],[Withdrawal]])</f>
        <v>10216.307999999995</v>
      </c>
      <c r="Q79" s="376"/>
    </row>
    <row r="80" spans="2:17" s="96" customFormat="1" ht="13.8" x14ac:dyDescent="0.3">
      <c r="G80" s="286">
        <v>3257</v>
      </c>
      <c r="H80" s="370">
        <v>43316</v>
      </c>
      <c r="I80" s="285" t="s">
        <v>92</v>
      </c>
      <c r="J80" s="285" t="s">
        <v>768</v>
      </c>
      <c r="K80" s="285" t="s">
        <v>34</v>
      </c>
      <c r="L80" s="371">
        <v>100</v>
      </c>
      <c r="M80" s="371"/>
      <c r="N80" s="371">
        <f>IF(ISBLANK(CkReg16_181519[[#This Row],[Withdrawal]]),N79+CkReg16_181519[[#This Row],[Deposit]],N79-CkReg16_181519[[#This Row],[Withdrawal]])</f>
        <v>1401.308</v>
      </c>
      <c r="O80" s="372">
        <v>43353</v>
      </c>
      <c r="P80" s="371">
        <f>IF(ISBLANK(CkReg16_181519[[#This Row],[Withdrawal]]),P79+CkReg16_181519[[#This Row],[Deposit]],P79-CkReg16_181519[[#This Row],[Withdrawal]])</f>
        <v>10116.307999999995</v>
      </c>
      <c r="Q80" s="376"/>
    </row>
    <row r="81" spans="2:17" s="96" customFormat="1" ht="13.8" x14ac:dyDescent="0.3">
      <c r="G81" s="286">
        <v>3258</v>
      </c>
      <c r="H81" s="370">
        <v>43316</v>
      </c>
      <c r="I81" s="285" t="s">
        <v>133</v>
      </c>
      <c r="J81" s="285" t="s">
        <v>769</v>
      </c>
      <c r="K81" s="285" t="s">
        <v>36</v>
      </c>
      <c r="L81" s="371">
        <v>389.76</v>
      </c>
      <c r="M81" s="371"/>
      <c r="N81" s="371">
        <f>IF(ISBLANK(CkReg16_181519[[#This Row],[Withdrawal]]),N80+CkReg16_181519[[#This Row],[Deposit]],N80-CkReg16_181519[[#This Row],[Withdrawal]])</f>
        <v>1011.548</v>
      </c>
      <c r="O81" s="372">
        <v>43318</v>
      </c>
      <c r="P81" s="371">
        <f>IF(ISBLANK(CkReg16_181519[[#This Row],[Withdrawal]]),P80+CkReg16_181519[[#This Row],[Deposit]],P80-CkReg16_181519[[#This Row],[Withdrawal]])</f>
        <v>9726.5479999999952</v>
      </c>
      <c r="Q81" s="376"/>
    </row>
    <row r="82" spans="2:17" s="96" customFormat="1" ht="13.8" x14ac:dyDescent="0.3">
      <c r="G82" s="286"/>
      <c r="H82" s="370">
        <v>43316</v>
      </c>
      <c r="I82" s="285"/>
      <c r="J82" s="285"/>
      <c r="K82" s="285" t="s">
        <v>61</v>
      </c>
      <c r="L82" s="371"/>
      <c r="M82" s="371">
        <f>140+140</f>
        <v>280</v>
      </c>
      <c r="N82" s="371">
        <f>IF(ISBLANK(CkReg16_181519[[#This Row],[Withdrawal]]),N81+CkReg16_181519[[#This Row],[Deposit]],N81-CkReg16_181519[[#This Row],[Withdrawal]])</f>
        <v>1291.548</v>
      </c>
      <c r="O82" s="372">
        <v>43318</v>
      </c>
      <c r="P82" s="371">
        <f>IF(ISBLANK(CkReg16_181519[[#This Row],[Withdrawal]]),P81+CkReg16_181519[[#This Row],[Deposit]],P81-CkReg16_181519[[#This Row],[Withdrawal]])</f>
        <v>10006.547999999995</v>
      </c>
      <c r="Q82" s="376"/>
    </row>
    <row r="83" spans="2:17" s="96" customFormat="1" ht="13.8" x14ac:dyDescent="0.3">
      <c r="G83" s="286"/>
      <c r="H83" s="370">
        <v>43316</v>
      </c>
      <c r="I83" s="285"/>
      <c r="J83" s="285"/>
      <c r="K83" s="285" t="s">
        <v>32</v>
      </c>
      <c r="L83" s="371"/>
      <c r="M83" s="371">
        <f>75+20+20+17.25+51+100+20</f>
        <v>303.25</v>
      </c>
      <c r="N83" s="371">
        <f>IF(ISBLANK(CkReg16_181519[[#This Row],[Withdrawal]]),N82+CkReg16_181519[[#This Row],[Deposit]],N82-CkReg16_181519[[#This Row],[Withdrawal]])</f>
        <v>1594.798</v>
      </c>
      <c r="O83" s="372">
        <v>43318</v>
      </c>
      <c r="P83" s="371">
        <f>IF(ISBLANK(CkReg16_181519[[#This Row],[Withdrawal]]),P82+CkReg16_181519[[#This Row],[Deposit]],P82-CkReg16_181519[[#This Row],[Withdrawal]])</f>
        <v>10309.797999999995</v>
      </c>
      <c r="Q83" s="376"/>
    </row>
    <row r="84" spans="2:17" s="96" customFormat="1" ht="13.8" x14ac:dyDescent="0.3">
      <c r="G84" s="286">
        <v>3259</v>
      </c>
      <c r="H84" s="370">
        <v>43340</v>
      </c>
      <c r="I84" s="285" t="s">
        <v>134</v>
      </c>
      <c r="J84" s="285"/>
      <c r="K84" s="285" t="s">
        <v>66</v>
      </c>
      <c r="L84" s="371">
        <v>569.53</v>
      </c>
      <c r="M84" s="371"/>
      <c r="N84" s="371">
        <f>IF(ISBLANK(CkReg16_181519[[#This Row],[Withdrawal]]),N83+CkReg16_181519[[#This Row],[Deposit]],N83-CkReg16_181519[[#This Row],[Withdrawal]])</f>
        <v>1025.268</v>
      </c>
      <c r="O84" s="372">
        <v>43342</v>
      </c>
      <c r="P84" s="371">
        <f>IF(ISBLANK(CkReg16_181519[[#This Row],[Withdrawal]]),P83+CkReg16_181519[[#This Row],[Deposit]],P83-CkReg16_181519[[#This Row],[Withdrawal]])</f>
        <v>9740.2679999999946</v>
      </c>
      <c r="Q84" s="376"/>
    </row>
    <row r="85" spans="2:17" s="96" customFormat="1" ht="13.8" x14ac:dyDescent="0.3">
      <c r="G85" s="286">
        <v>3260</v>
      </c>
      <c r="H85" s="370">
        <v>43340</v>
      </c>
      <c r="I85" s="285" t="s">
        <v>735</v>
      </c>
      <c r="J85" s="285"/>
      <c r="K85" s="285"/>
      <c r="L85" s="371">
        <v>0</v>
      </c>
      <c r="M85" s="371"/>
      <c r="N85" s="371">
        <f>IF(ISBLANK(CkReg16_181519[[#This Row],[Withdrawal]]),N84+CkReg16_181519[[#This Row],[Deposit]],N84-CkReg16_181519[[#This Row],[Withdrawal]])</f>
        <v>1025.268</v>
      </c>
      <c r="O85" s="372" t="s">
        <v>735</v>
      </c>
      <c r="P85" s="371">
        <f>IF(ISBLANK(CkReg16_181519[[#This Row],[Withdrawal]]),P84+CkReg16_181519[[#This Row],[Deposit]],P84-CkReg16_181519[[#This Row],[Withdrawal]])</f>
        <v>9740.2679999999946</v>
      </c>
      <c r="Q85" s="376"/>
    </row>
    <row r="86" spans="2:17" s="96" customFormat="1" ht="13.8" x14ac:dyDescent="0.3">
      <c r="G86" s="286">
        <v>3261</v>
      </c>
      <c r="H86" s="370">
        <v>43340</v>
      </c>
      <c r="I86" s="285" t="s">
        <v>425</v>
      </c>
      <c r="J86" s="285" t="s">
        <v>770</v>
      </c>
      <c r="K86" s="285" t="s">
        <v>67</v>
      </c>
      <c r="L86" s="371">
        <v>3055.36</v>
      </c>
      <c r="M86" s="371"/>
      <c r="N86" s="371">
        <f>IF(ISBLANK(CkReg16_181519[[#This Row],[Withdrawal]]),N85+CkReg16_181519[[#This Row],[Deposit]],N85-CkReg16_181519[[#This Row],[Withdrawal]])</f>
        <v>-2030.0920000000001</v>
      </c>
      <c r="O86" s="372">
        <v>43347</v>
      </c>
      <c r="P86" s="371">
        <f>IF(ISBLANK(CkReg16_181519[[#This Row],[Withdrawal]]),P85+CkReg16_181519[[#This Row],[Deposit]],P85-CkReg16_181519[[#This Row],[Withdrawal]])</f>
        <v>6684.907999999994</v>
      </c>
      <c r="Q86" s="376"/>
    </row>
    <row r="87" spans="2:17" s="96" customFormat="1" ht="13.8" x14ac:dyDescent="0.3">
      <c r="G87" s="286">
        <v>3262</v>
      </c>
      <c r="H87" s="370">
        <v>43340</v>
      </c>
      <c r="I87" s="285" t="s">
        <v>735</v>
      </c>
      <c r="J87" s="285"/>
      <c r="K87" s="285"/>
      <c r="L87" s="371">
        <v>0</v>
      </c>
      <c r="M87" s="371"/>
      <c r="N87" s="371">
        <f>IF(ISBLANK(CkReg16_181519[[#This Row],[Withdrawal]]),N86+CkReg16_181519[[#This Row],[Deposit]],N86-CkReg16_181519[[#This Row],[Withdrawal]])</f>
        <v>-2030.0920000000001</v>
      </c>
      <c r="O87" s="372" t="s">
        <v>735</v>
      </c>
      <c r="P87" s="371">
        <f>IF(ISBLANK(CkReg16_181519[[#This Row],[Withdrawal]]),P86+CkReg16_181519[[#This Row],[Deposit]],P86-CkReg16_181519[[#This Row],[Withdrawal]])</f>
        <v>6684.907999999994</v>
      </c>
      <c r="Q87" s="376"/>
    </row>
    <row r="88" spans="2:17" s="96" customFormat="1" ht="13.8" x14ac:dyDescent="0.3">
      <c r="G88" s="286">
        <v>3263</v>
      </c>
      <c r="H88" s="370">
        <v>43341</v>
      </c>
      <c r="I88" s="285" t="s">
        <v>156</v>
      </c>
      <c r="J88" s="285" t="s">
        <v>472</v>
      </c>
      <c r="K88" s="285" t="s">
        <v>67</v>
      </c>
      <c r="L88" s="371">
        <v>171.03</v>
      </c>
      <c r="M88" s="371"/>
      <c r="N88" s="371">
        <f>IF(ISBLANK(CkReg16_181519[[#This Row],[Withdrawal]]),N87+CkReg16_181519[[#This Row],[Deposit]],N87-CkReg16_181519[[#This Row],[Withdrawal]])</f>
        <v>-2201.1220000000003</v>
      </c>
      <c r="O88" s="372">
        <v>43361</v>
      </c>
      <c r="P88" s="371">
        <f>IF(ISBLANK(CkReg16_181519[[#This Row],[Withdrawal]]),P87+CkReg16_181519[[#This Row],[Deposit]],P87-CkReg16_181519[[#This Row],[Withdrawal]])</f>
        <v>6513.8779999999942</v>
      </c>
      <c r="Q88" s="376"/>
    </row>
    <row r="89" spans="2:17" s="96" customFormat="1" ht="13.8" x14ac:dyDescent="0.3">
      <c r="G89" s="286">
        <v>3264</v>
      </c>
      <c r="H89" s="370">
        <v>43341</v>
      </c>
      <c r="I89" s="285" t="s">
        <v>758</v>
      </c>
      <c r="J89" s="285" t="s">
        <v>771</v>
      </c>
      <c r="K89" s="285" t="s">
        <v>67</v>
      </c>
      <c r="L89" s="371">
        <v>273.33</v>
      </c>
      <c r="M89" s="378"/>
      <c r="N89" s="371">
        <f>IF(ISBLANK(CkReg16_181519[[#This Row],[Withdrawal]]),N88+CkReg16_181519[[#This Row],[Deposit]],N88-CkReg16_181519[[#This Row],[Withdrawal]])</f>
        <v>-2474.4520000000002</v>
      </c>
      <c r="O89" s="372">
        <v>43343</v>
      </c>
      <c r="P89" s="371">
        <f>IF(ISBLANK(CkReg16_181519[[#This Row],[Withdrawal]]),P88+CkReg16_181519[[#This Row],[Deposit]],P88-CkReg16_181519[[#This Row],[Withdrawal]])</f>
        <v>6240.5479999999943</v>
      </c>
      <c r="Q89" s="376"/>
    </row>
    <row r="90" spans="2:17" customFormat="1" ht="13.8" x14ac:dyDescent="0.3">
      <c r="B90" s="96"/>
      <c r="C90" s="96"/>
      <c r="D90" s="96"/>
      <c r="G90" s="286"/>
      <c r="H90" s="370">
        <v>43343</v>
      </c>
      <c r="I90" s="285"/>
      <c r="J90" s="285"/>
      <c r="K90" s="285" t="s">
        <v>91</v>
      </c>
      <c r="L90" s="371">
        <v>-0.46</v>
      </c>
      <c r="M90" s="371"/>
      <c r="N90" s="371">
        <f>IF(ISBLANK(CkReg16_181519[[#This Row],[Withdrawal]]),N89+CkReg16_181519[[#This Row],[Deposit]],N89-CkReg16_181519[[#This Row],[Withdrawal]])</f>
        <v>-2473.9920000000002</v>
      </c>
      <c r="O90" s="381">
        <v>43343</v>
      </c>
      <c r="P90" s="371">
        <f>IF(ISBLANK(CkReg16_181519[[#This Row],[Withdrawal]]),P89+CkReg16_181519[[#This Row],[Deposit]],P89-CkReg16_181519[[#This Row],[Withdrawal]])</f>
        <v>6241.0079999999944</v>
      </c>
      <c r="Q90" s="382">
        <v>43343</v>
      </c>
    </row>
    <row r="91" spans="2:17" s="96" customFormat="1" ht="13.8" x14ac:dyDescent="0.3">
      <c r="G91" s="286"/>
      <c r="H91" s="370">
        <v>43350</v>
      </c>
      <c r="I91" s="285"/>
      <c r="J91" s="285"/>
      <c r="K91" s="285" t="s">
        <v>60</v>
      </c>
      <c r="L91" s="371"/>
      <c r="M91" s="371">
        <v>994</v>
      </c>
      <c r="N91" s="371">
        <f>IF(ISBLANK(CkReg16_181519[[#This Row],[Withdrawal]]),N90+CkReg16_181519[[#This Row],[Deposit]],N90-CkReg16_181519[[#This Row],[Withdrawal]])</f>
        <v>-1479.9920000000002</v>
      </c>
      <c r="O91" s="372">
        <v>43353</v>
      </c>
      <c r="P91" s="371">
        <f>IF(ISBLANK(CkReg16_181519[[#This Row],[Withdrawal]]),P90+CkReg16_181519[[#This Row],[Deposit]],P90-CkReg16_181519[[#This Row],[Withdrawal]])</f>
        <v>7235.0079999999944</v>
      </c>
      <c r="Q91" s="376"/>
    </row>
    <row r="92" spans="2:17" customFormat="1" ht="13.8" x14ac:dyDescent="0.3">
      <c r="B92" s="96"/>
      <c r="C92" s="96"/>
      <c r="D92" s="96"/>
      <c r="G92" s="286"/>
      <c r="H92" s="370">
        <v>43350</v>
      </c>
      <c r="I92" s="285"/>
      <c r="J92" s="285"/>
      <c r="K92" s="285" t="s">
        <v>61</v>
      </c>
      <c r="L92" s="371"/>
      <c r="M92" s="371">
        <v>2610</v>
      </c>
      <c r="N92" s="371">
        <f>IF(ISBLANK(CkReg16_181519[[#This Row],[Withdrawal]]),N91+CkReg16_181519[[#This Row],[Deposit]],N91-CkReg16_181519[[#This Row],[Withdrawal]])</f>
        <v>1130.0079999999998</v>
      </c>
      <c r="O92" s="372">
        <v>43353</v>
      </c>
      <c r="P92" s="371">
        <f>IF(ISBLANK(CkReg16_181519[[#This Row],[Withdrawal]]),P91+CkReg16_181519[[#This Row],[Deposit]],P91-CkReg16_181519[[#This Row],[Withdrawal]])</f>
        <v>9845.0079999999944</v>
      </c>
      <c r="Q92" s="382"/>
    </row>
    <row r="93" spans="2:17" s="96" customFormat="1" ht="13.8" x14ac:dyDescent="0.3">
      <c r="G93" s="379"/>
      <c r="H93" s="370">
        <v>43350</v>
      </c>
      <c r="I93" s="285"/>
      <c r="J93" s="285" t="s">
        <v>781</v>
      </c>
      <c r="K93" s="285" t="s">
        <v>61</v>
      </c>
      <c r="L93" s="371"/>
      <c r="M93" s="371">
        <v>856</v>
      </c>
      <c r="N93" s="371">
        <f>IF(ISBLANK(CkReg16_181519[[#This Row],[Withdrawal]]),N92+CkReg16_181519[[#This Row],[Deposit]],N92-CkReg16_181519[[#This Row],[Withdrawal]])</f>
        <v>1986.0079999999998</v>
      </c>
      <c r="O93" s="372">
        <v>43353</v>
      </c>
      <c r="P93" s="371">
        <f>IF(ISBLANK(CkReg16_181519[[#This Row],[Withdrawal]]),P92+CkReg16_181519[[#This Row],[Deposit]],P92-CkReg16_181519[[#This Row],[Withdrawal]])</f>
        <v>10701.007999999994</v>
      </c>
      <c r="Q93" s="376"/>
    </row>
    <row r="94" spans="2:17" s="96" customFormat="1" ht="13.8" x14ac:dyDescent="0.3">
      <c r="G94" s="379"/>
      <c r="H94" s="370">
        <v>43350</v>
      </c>
      <c r="I94" s="285"/>
      <c r="J94" s="285"/>
      <c r="K94" s="285" t="s">
        <v>60</v>
      </c>
      <c r="L94" s="371"/>
      <c r="M94" s="371">
        <v>1275</v>
      </c>
      <c r="N94" s="371">
        <f>IF(ISBLANK(CkReg16_181519[[#This Row],[Withdrawal]]),N93+CkReg16_181519[[#This Row],[Deposit]],N93-CkReg16_181519[[#This Row],[Withdrawal]])</f>
        <v>3261.0079999999998</v>
      </c>
      <c r="O94" s="372">
        <v>43353</v>
      </c>
      <c r="P94" s="371">
        <f>IF(ISBLANK(CkReg16_181519[[#This Row],[Withdrawal]]),P93+CkReg16_181519[[#This Row],[Deposit]],P93-CkReg16_181519[[#This Row],[Withdrawal]])</f>
        <v>11976.007999999994</v>
      </c>
      <c r="Q94" s="376"/>
    </row>
    <row r="95" spans="2:17" s="96" customFormat="1" ht="13.8" x14ac:dyDescent="0.3">
      <c r="G95" s="379"/>
      <c r="H95" s="370">
        <v>43351</v>
      </c>
      <c r="I95" s="285"/>
      <c r="J95" s="285"/>
      <c r="K95" s="285" t="s">
        <v>61</v>
      </c>
      <c r="L95" s="371"/>
      <c r="M95" s="371">
        <v>605</v>
      </c>
      <c r="N95" s="371">
        <f>IF(ISBLANK(CkReg16_181519[[#This Row],[Withdrawal]]),N94+CkReg16_181519[[#This Row],[Deposit]],N94-CkReg16_181519[[#This Row],[Withdrawal]])</f>
        <v>3866.0079999999998</v>
      </c>
      <c r="O95" s="372">
        <v>43353</v>
      </c>
      <c r="P95" s="371">
        <f>IF(ISBLANK(CkReg16_181519[[#This Row],[Withdrawal]]),P94+CkReg16_181519[[#This Row],[Deposit]],P94-CkReg16_181519[[#This Row],[Withdrawal]])</f>
        <v>12581.007999999994</v>
      </c>
      <c r="Q95" s="376"/>
    </row>
    <row r="96" spans="2:17" s="96" customFormat="1" ht="13.8" x14ac:dyDescent="0.3">
      <c r="G96" s="286"/>
      <c r="H96" s="370">
        <v>43351</v>
      </c>
      <c r="I96" s="285"/>
      <c r="J96" s="285"/>
      <c r="K96" s="285" t="s">
        <v>60</v>
      </c>
      <c r="L96" s="371"/>
      <c r="M96" s="371">
        <v>485</v>
      </c>
      <c r="N96" s="371">
        <f>IF(ISBLANK(CkReg16_181519[[#This Row],[Withdrawal]]),N95+CkReg16_181519[[#This Row],[Deposit]],N95-CkReg16_181519[[#This Row],[Withdrawal]])</f>
        <v>4351.0079999999998</v>
      </c>
      <c r="O96" s="372">
        <v>43353</v>
      </c>
      <c r="P96" s="371">
        <f>IF(ISBLANK(CkReg16_181519[[#This Row],[Withdrawal]]),P95+CkReg16_181519[[#This Row],[Deposit]],P95-CkReg16_181519[[#This Row],[Withdrawal]])</f>
        <v>13066.007999999994</v>
      </c>
      <c r="Q96" s="376"/>
    </row>
    <row r="97" spans="7:17" s="96" customFormat="1" ht="13.8" x14ac:dyDescent="0.3">
      <c r="G97" s="286"/>
      <c r="H97" s="370">
        <v>43351</v>
      </c>
      <c r="I97" s="285"/>
      <c r="J97" s="285"/>
      <c r="K97" s="285" t="s">
        <v>61</v>
      </c>
      <c r="L97" s="371"/>
      <c r="M97" s="378">
        <v>240</v>
      </c>
      <c r="N97" s="371">
        <f>IF(ISBLANK(CkReg16_181519[[#This Row],[Withdrawal]]),N96+CkReg16_181519[[#This Row],[Deposit]],N96-CkReg16_181519[[#This Row],[Withdrawal]])</f>
        <v>4591.0079999999998</v>
      </c>
      <c r="O97" s="372">
        <v>43353</v>
      </c>
      <c r="P97" s="371">
        <f>IF(ISBLANK(CkReg16_181519[[#This Row],[Withdrawal]]),P96+CkReg16_181519[[#This Row],[Deposit]],P96-CkReg16_181519[[#This Row],[Withdrawal]])</f>
        <v>13306.007999999994</v>
      </c>
      <c r="Q97" s="376"/>
    </row>
    <row r="98" spans="7:17" s="96" customFormat="1" ht="13.8" x14ac:dyDescent="0.3">
      <c r="G98" s="286"/>
      <c r="H98" s="370">
        <v>43351</v>
      </c>
      <c r="I98" s="285"/>
      <c r="J98" s="285" t="s">
        <v>777</v>
      </c>
      <c r="K98" s="285" t="s">
        <v>53</v>
      </c>
      <c r="L98" s="371">
        <v>-100</v>
      </c>
      <c r="M98" s="371"/>
      <c r="N98" s="371">
        <f>IF(ISBLANK(CkReg16_181519[[#This Row],[Withdrawal]]),N97+CkReg16_181519[[#This Row],[Deposit]],N97-CkReg16_181519[[#This Row],[Withdrawal]])</f>
        <v>4691.0079999999998</v>
      </c>
      <c r="O98" s="372">
        <v>43353</v>
      </c>
      <c r="P98" s="371">
        <f>IF(ISBLANK(CkReg16_181519[[#This Row],[Withdrawal]]),P97+CkReg16_181519[[#This Row],[Deposit]],P97-CkReg16_181519[[#This Row],[Withdrawal]])</f>
        <v>13406.007999999994</v>
      </c>
      <c r="Q98" s="376"/>
    </row>
    <row r="99" spans="7:17" s="96" customFormat="1" ht="13.8" x14ac:dyDescent="0.3">
      <c r="G99" s="286"/>
      <c r="H99" s="370">
        <v>43351</v>
      </c>
      <c r="I99" s="285"/>
      <c r="J99" s="285"/>
      <c r="K99" s="285" t="s">
        <v>61</v>
      </c>
      <c r="L99" s="371"/>
      <c r="M99" s="371">
        <v>35</v>
      </c>
      <c r="N99" s="371">
        <f>IF(ISBLANK(CkReg16_181519[[#This Row],[Withdrawal]]),N98+CkReg16_181519[[#This Row],[Deposit]],N98-CkReg16_181519[[#This Row],[Withdrawal]])</f>
        <v>4726.0079999999998</v>
      </c>
      <c r="O99" s="372">
        <v>43353</v>
      </c>
      <c r="P99" s="371">
        <f>IF(ISBLANK(CkReg16_181519[[#This Row],[Withdrawal]]),P98+CkReg16_181519[[#This Row],[Deposit]],P98-CkReg16_181519[[#This Row],[Withdrawal]])</f>
        <v>13441.007999999994</v>
      </c>
      <c r="Q99" s="376"/>
    </row>
    <row r="100" spans="7:17" s="96" customFormat="1" ht="13.8" x14ac:dyDescent="0.3">
      <c r="G100" s="286"/>
      <c r="H100" s="370">
        <v>43351</v>
      </c>
      <c r="I100" s="285"/>
      <c r="J100" s="285"/>
      <c r="K100" s="285" t="s">
        <v>60</v>
      </c>
      <c r="L100" s="371"/>
      <c r="M100" s="371">
        <v>1919</v>
      </c>
      <c r="N100" s="371">
        <f>IF(ISBLANK(CkReg16_181519[[#This Row],[Withdrawal]]),N99+CkReg16_181519[[#This Row],[Deposit]],N99-CkReg16_181519[[#This Row],[Withdrawal]])</f>
        <v>6645.0079999999998</v>
      </c>
      <c r="O100" s="372">
        <v>43353</v>
      </c>
      <c r="P100" s="371">
        <f>IF(ISBLANK(CkReg16_181519[[#This Row],[Withdrawal]]),P99+CkReg16_181519[[#This Row],[Deposit]],P99-CkReg16_181519[[#This Row],[Withdrawal]])</f>
        <v>15360.007999999994</v>
      </c>
      <c r="Q100" s="376"/>
    </row>
    <row r="101" spans="7:17" s="96" customFormat="1" ht="13.8" x14ac:dyDescent="0.3">
      <c r="G101" s="286"/>
      <c r="H101" s="370">
        <v>43351</v>
      </c>
      <c r="I101" s="285"/>
      <c r="J101" s="285"/>
      <c r="K101" s="285" t="s">
        <v>60</v>
      </c>
      <c r="L101" s="371"/>
      <c r="M101" s="371">
        <v>170.35</v>
      </c>
      <c r="N101" s="371">
        <f>IF(ISBLANK(CkReg16_181519[[#This Row],[Withdrawal]]),N100+CkReg16_181519[[#This Row],[Deposit]],N100-CkReg16_181519[[#This Row],[Withdrawal]])</f>
        <v>6815.3580000000002</v>
      </c>
      <c r="O101" s="372">
        <v>43353</v>
      </c>
      <c r="P101" s="371">
        <f>IF(ISBLANK(CkReg16_181519[[#This Row],[Withdrawal]]),P100+CkReg16_181519[[#This Row],[Deposit]],P100-CkReg16_181519[[#This Row],[Withdrawal]])</f>
        <v>15530.357999999995</v>
      </c>
      <c r="Q101" s="376"/>
    </row>
    <row r="102" spans="7:17" s="96" customFormat="1" ht="13.8" x14ac:dyDescent="0.3">
      <c r="G102" s="286"/>
      <c r="H102" s="370">
        <v>43351</v>
      </c>
      <c r="I102" s="285"/>
      <c r="J102" s="285" t="s">
        <v>777</v>
      </c>
      <c r="K102" s="285" t="s">
        <v>53</v>
      </c>
      <c r="L102" s="371">
        <v>-100</v>
      </c>
      <c r="M102" s="371"/>
      <c r="N102" s="371">
        <f>IF(ISBLANK(CkReg16_181519[[#This Row],[Withdrawal]]),N101+CkReg16_181519[[#This Row],[Deposit]],N101-CkReg16_181519[[#This Row],[Withdrawal]])</f>
        <v>6915.3580000000002</v>
      </c>
      <c r="O102" s="372">
        <v>43353</v>
      </c>
      <c r="P102" s="371">
        <f>IF(ISBLANK(CkReg16_181519[[#This Row],[Withdrawal]]),P101+CkReg16_181519[[#This Row],[Deposit]],P101-CkReg16_181519[[#This Row],[Withdrawal]])</f>
        <v>15630.357999999995</v>
      </c>
      <c r="Q102" s="376"/>
    </row>
    <row r="103" spans="7:17" s="96" customFormat="1" ht="13.8" x14ac:dyDescent="0.3">
      <c r="G103" s="286">
        <v>3265</v>
      </c>
      <c r="H103" s="370">
        <v>43351</v>
      </c>
      <c r="I103" s="285" t="s">
        <v>137</v>
      </c>
      <c r="J103" s="285" t="s">
        <v>491</v>
      </c>
      <c r="K103" s="285" t="s">
        <v>68</v>
      </c>
      <c r="L103" s="371">
        <v>250</v>
      </c>
      <c r="M103" s="371"/>
      <c r="N103" s="371">
        <f>IF(ISBLANK(CkReg16_181519[[#This Row],[Withdrawal]]),N102+CkReg16_181519[[#This Row],[Deposit]],N102-CkReg16_181519[[#This Row],[Withdrawal]])</f>
        <v>6665.3580000000002</v>
      </c>
      <c r="O103" s="372">
        <v>43354</v>
      </c>
      <c r="P103" s="371">
        <f>IF(ISBLANK(CkReg16_181519[[#This Row],[Withdrawal]]),P102+CkReg16_181519[[#This Row],[Deposit]],P102-CkReg16_181519[[#This Row],[Withdrawal]])</f>
        <v>15380.357999999995</v>
      </c>
      <c r="Q103" s="376"/>
    </row>
    <row r="104" spans="7:17" s="96" customFormat="1" ht="13.8" x14ac:dyDescent="0.3">
      <c r="G104" s="286"/>
      <c r="H104" s="370">
        <v>43352</v>
      </c>
      <c r="I104" s="285"/>
      <c r="J104" s="285" t="s">
        <v>676</v>
      </c>
      <c r="K104" s="285" t="s">
        <v>61</v>
      </c>
      <c r="L104" s="371"/>
      <c r="M104" s="378">
        <v>2995</v>
      </c>
      <c r="N104" s="371">
        <f>IF(ISBLANK(CkReg16_181519[[#This Row],[Withdrawal]]),N103+CkReg16_181519[[#This Row],[Deposit]],N103-CkReg16_181519[[#This Row],[Withdrawal]])</f>
        <v>9660.3580000000002</v>
      </c>
      <c r="O104" s="372">
        <v>43353</v>
      </c>
      <c r="P104" s="371">
        <f>IF(ISBLANK(CkReg16_181519[[#This Row],[Withdrawal]]),P103+CkReg16_181519[[#This Row],[Deposit]],P103-CkReg16_181519[[#This Row],[Withdrawal]])</f>
        <v>18375.357999999993</v>
      </c>
      <c r="Q104" s="376"/>
    </row>
    <row r="105" spans="7:17" s="96" customFormat="1" ht="13.8" x14ac:dyDescent="0.3">
      <c r="G105" s="286"/>
      <c r="H105" s="370">
        <v>43352</v>
      </c>
      <c r="I105" s="285"/>
      <c r="J105" s="285" t="s">
        <v>358</v>
      </c>
      <c r="K105" s="285" t="s">
        <v>70</v>
      </c>
      <c r="L105" s="371">
        <v>88.63</v>
      </c>
      <c r="M105" s="378"/>
      <c r="N105" s="371">
        <f>IF(ISBLANK(CkReg16_181519[[#This Row],[Withdrawal]]),N104+CkReg16_181519[[#This Row],[Deposit]],N104-CkReg16_181519[[#This Row],[Withdrawal]])</f>
        <v>9571.728000000001</v>
      </c>
      <c r="O105" s="372">
        <v>43353</v>
      </c>
      <c r="P105" s="371">
        <f>IF(ISBLANK(CkReg16_181519[[#This Row],[Withdrawal]]),P104+CkReg16_181519[[#This Row],[Deposit]],P104-CkReg16_181519[[#This Row],[Withdrawal]])</f>
        <v>18286.727999999992</v>
      </c>
      <c r="Q105" s="376"/>
    </row>
    <row r="106" spans="7:17" s="96" customFormat="1" ht="13.8" x14ac:dyDescent="0.3">
      <c r="G106" s="286"/>
      <c r="H106" s="370">
        <v>43352</v>
      </c>
      <c r="I106" s="285"/>
      <c r="J106" s="285" t="s">
        <v>676</v>
      </c>
      <c r="K106" s="285" t="s">
        <v>60</v>
      </c>
      <c r="L106" s="371"/>
      <c r="M106" s="378">
        <v>1856</v>
      </c>
      <c r="N106" s="371">
        <f>IF(ISBLANK(CkReg16_181519[[#This Row],[Withdrawal]]),N105+CkReg16_181519[[#This Row],[Deposit]],N105-CkReg16_181519[[#This Row],[Withdrawal]])</f>
        <v>11427.728000000001</v>
      </c>
      <c r="O106" s="372">
        <v>43353</v>
      </c>
      <c r="P106" s="371">
        <f>IF(ISBLANK(CkReg16_181519[[#This Row],[Withdrawal]]),P105+CkReg16_181519[[#This Row],[Deposit]],P105-CkReg16_181519[[#This Row],[Withdrawal]])</f>
        <v>20142.727999999992</v>
      </c>
      <c r="Q106" s="376"/>
    </row>
    <row r="107" spans="7:17" s="96" customFormat="1" ht="13.8" x14ac:dyDescent="0.3">
      <c r="G107" s="286"/>
      <c r="H107" s="370">
        <v>43352</v>
      </c>
      <c r="I107" s="285"/>
      <c r="J107" s="285" t="s">
        <v>358</v>
      </c>
      <c r="K107" s="285" t="s">
        <v>67</v>
      </c>
      <c r="L107" s="371">
        <v>65.84</v>
      </c>
      <c r="M107" s="378"/>
      <c r="N107" s="371">
        <f>IF(ISBLANK(CkReg16_181519[[#This Row],[Withdrawal]]),N106+CkReg16_181519[[#This Row],[Deposit]],N106-CkReg16_181519[[#This Row],[Withdrawal]])</f>
        <v>11361.888000000001</v>
      </c>
      <c r="O107" s="372">
        <v>43353</v>
      </c>
      <c r="P107" s="371">
        <f>IF(ISBLANK(CkReg16_181519[[#This Row],[Withdrawal]]),P106+CkReg16_181519[[#This Row],[Deposit]],P106-CkReg16_181519[[#This Row],[Withdrawal]])</f>
        <v>20076.887999999992</v>
      </c>
      <c r="Q107" s="376"/>
    </row>
    <row r="108" spans="7:17" s="96" customFormat="1" ht="13.8" x14ac:dyDescent="0.3">
      <c r="G108" s="286">
        <v>3266</v>
      </c>
      <c r="H108" s="370">
        <v>43367</v>
      </c>
      <c r="I108" s="285" t="s">
        <v>772</v>
      </c>
      <c r="J108" s="285" t="s">
        <v>773</v>
      </c>
      <c r="K108" s="285" t="s">
        <v>66</v>
      </c>
      <c r="L108" s="371">
        <v>3428.09</v>
      </c>
      <c r="M108" s="378"/>
      <c r="N108" s="371">
        <f>IF(ISBLANK(CkReg16_181519[[#This Row],[Withdrawal]]),N107+CkReg16_181519[[#This Row],[Deposit]],N107-CkReg16_181519[[#This Row],[Withdrawal]])</f>
        <v>7933.7980000000007</v>
      </c>
      <c r="O108" s="372">
        <v>43383</v>
      </c>
      <c r="P108" s="371">
        <f>IF(ISBLANK(CkReg16_181519[[#This Row],[Withdrawal]]),P107+CkReg16_181519[[#This Row],[Deposit]],P107-CkReg16_181519[[#This Row],[Withdrawal]])</f>
        <v>16648.797999999992</v>
      </c>
      <c r="Q108" s="376"/>
    </row>
    <row r="109" spans="7:17" s="96" customFormat="1" ht="13.8" x14ac:dyDescent="0.3">
      <c r="G109" s="379">
        <v>3267</v>
      </c>
      <c r="H109" s="382">
        <v>43367</v>
      </c>
      <c r="I109" s="379" t="s">
        <v>774</v>
      </c>
      <c r="J109" s="379" t="s">
        <v>513</v>
      </c>
      <c r="K109" s="379" t="s">
        <v>69</v>
      </c>
      <c r="L109" s="379">
        <v>6245.49</v>
      </c>
      <c r="M109" s="378"/>
      <c r="N109" s="371">
        <f>IF(ISBLANK(CkReg16_181519[[#This Row],[Withdrawal]]),N108+CkReg16_181519[[#This Row],[Deposit]],N108-CkReg16_181519[[#This Row],[Withdrawal]])</f>
        <v>1688.3080000000009</v>
      </c>
      <c r="O109" s="372">
        <v>43385</v>
      </c>
      <c r="P109" s="371">
        <f>IF(ISBLANK(CkReg16_181519[[#This Row],[Withdrawal]]),P108+CkReg16_181519[[#This Row],[Deposit]],P108-CkReg16_181519[[#This Row],[Withdrawal]])</f>
        <v>10403.307999999992</v>
      </c>
      <c r="Q109" s="376"/>
    </row>
    <row r="110" spans="7:17" s="96" customFormat="1" ht="13.8" x14ac:dyDescent="0.3">
      <c r="G110" s="379">
        <v>3267</v>
      </c>
      <c r="H110" s="382">
        <v>43367</v>
      </c>
      <c r="I110" s="379" t="s">
        <v>774</v>
      </c>
      <c r="J110" s="379" t="s">
        <v>513</v>
      </c>
      <c r="K110" s="285" t="s">
        <v>66</v>
      </c>
      <c r="L110" s="371">
        <v>1000</v>
      </c>
      <c r="M110" s="378"/>
      <c r="N110" s="371">
        <f>IF(ISBLANK(CkReg16_181519[[#This Row],[Withdrawal]]),N109+CkReg16_181519[[#This Row],[Deposit]],N109-CkReg16_181519[[#This Row],[Withdrawal]])</f>
        <v>688.3080000000009</v>
      </c>
      <c r="O110" s="372">
        <v>43385</v>
      </c>
      <c r="P110" s="371">
        <f>IF(ISBLANK(CkReg16_181519[[#This Row],[Withdrawal]]),P109+CkReg16_181519[[#This Row],[Deposit]],P109-CkReg16_181519[[#This Row],[Withdrawal]])</f>
        <v>9403.3079999999918</v>
      </c>
      <c r="Q110" s="376"/>
    </row>
    <row r="111" spans="7:17" s="96" customFormat="1" ht="13.8" x14ac:dyDescent="0.3">
      <c r="G111" s="286"/>
      <c r="H111" s="370">
        <v>43373</v>
      </c>
      <c r="I111" s="285"/>
      <c r="J111" s="285"/>
      <c r="K111" s="285" t="s">
        <v>91</v>
      </c>
      <c r="L111" s="371">
        <v>-0.67</v>
      </c>
      <c r="M111" s="371"/>
      <c r="N111" s="371">
        <f>IF(ISBLANK(CkReg16_181519[[#This Row],[Withdrawal]]),N110+CkReg16_181519[[#This Row],[Deposit]],N110-CkReg16_181519[[#This Row],[Withdrawal]])</f>
        <v>688.97800000000086</v>
      </c>
      <c r="O111" s="372">
        <v>43373</v>
      </c>
      <c r="P111" s="371">
        <f>IF(ISBLANK(CkReg16_181519[[#This Row],[Withdrawal]]),P110+CkReg16_181519[[#This Row],[Deposit]],P110-CkReg16_181519[[#This Row],[Withdrawal]])</f>
        <v>9403.9779999999919</v>
      </c>
      <c r="Q111" s="376">
        <v>43373</v>
      </c>
    </row>
    <row r="112" spans="7:17" s="96" customFormat="1" ht="13.8" x14ac:dyDescent="0.3">
      <c r="G112" s="379">
        <v>3268</v>
      </c>
      <c r="H112" s="382">
        <v>43374</v>
      </c>
      <c r="I112" s="379" t="s">
        <v>156</v>
      </c>
      <c r="J112" s="379" t="s">
        <v>775</v>
      </c>
      <c r="K112" s="379" t="s">
        <v>590</v>
      </c>
      <c r="L112" s="379"/>
      <c r="M112" s="379">
        <v>-204.55</v>
      </c>
      <c r="N112" s="371">
        <f>IF(ISBLANK(CkReg16_181519[[#This Row],[Withdrawal]]),N111+CkReg16_181519[[#This Row],[Deposit]],N111-CkReg16_181519[[#This Row],[Withdrawal]])</f>
        <v>484.42800000000085</v>
      </c>
      <c r="O112" s="372">
        <v>43406</v>
      </c>
      <c r="P112" s="371">
        <f>IF(ISBLANK(CkReg16_181519[[#This Row],[Withdrawal]]),P111+CkReg16_181519[[#This Row],[Deposit]],P111-CkReg16_181519[[#This Row],[Withdrawal]])</f>
        <v>9199.4279999999926</v>
      </c>
      <c r="Q112" s="376"/>
    </row>
    <row r="113" spans="2:18" s="96" customFormat="1" ht="13.8" x14ac:dyDescent="0.3">
      <c r="G113" s="286">
        <v>3269</v>
      </c>
      <c r="H113" s="370">
        <v>43376</v>
      </c>
      <c r="I113" s="285" t="s">
        <v>82</v>
      </c>
      <c r="J113" s="285" t="s">
        <v>794</v>
      </c>
      <c r="K113" s="285" t="s">
        <v>46</v>
      </c>
      <c r="L113" s="371">
        <v>1032</v>
      </c>
      <c r="M113" s="371"/>
      <c r="N113" s="371">
        <f>IF(ISBLANK(CkReg16_181519[[#This Row],[Withdrawal]]),N112+CkReg16_181519[[#This Row],[Deposit]],N112-CkReg16_181519[[#This Row],[Withdrawal]])</f>
        <v>-547.57199999999921</v>
      </c>
      <c r="O113" s="372">
        <v>43384</v>
      </c>
      <c r="P113" s="371">
        <f>IF(ISBLANK(CkReg16_181519[[#This Row],[Withdrawal]]),P112+CkReg16_181519[[#This Row],[Deposit]],P112-CkReg16_181519[[#This Row],[Withdrawal]])</f>
        <v>8167.4279999999926</v>
      </c>
      <c r="Q113" s="376"/>
    </row>
    <row r="114" spans="2:18" s="96" customFormat="1" ht="13.8" x14ac:dyDescent="0.3">
      <c r="G114" s="286">
        <v>3270</v>
      </c>
      <c r="H114" s="370">
        <v>43376</v>
      </c>
      <c r="I114" s="285" t="s">
        <v>172</v>
      </c>
      <c r="J114" s="285" t="s">
        <v>776</v>
      </c>
      <c r="K114" s="285" t="s">
        <v>53</v>
      </c>
      <c r="L114" s="371">
        <v>10</v>
      </c>
      <c r="M114" s="371"/>
      <c r="N114" s="371">
        <f>IF(ISBLANK(CkReg16_181519[[#This Row],[Withdrawal]]),N113+CkReg16_181519[[#This Row],[Deposit]],N113-CkReg16_181519[[#This Row],[Withdrawal]])</f>
        <v>-557.57199999999921</v>
      </c>
      <c r="O114" s="372">
        <v>43383</v>
      </c>
      <c r="P114" s="371">
        <f>IF(ISBLANK(CkReg16_181519[[#This Row],[Withdrawal]]),P113+CkReg16_181519[[#This Row],[Deposit]],P113-CkReg16_181519[[#This Row],[Withdrawal]])</f>
        <v>8157.4279999999926</v>
      </c>
      <c r="Q114" s="376"/>
    </row>
    <row r="115" spans="2:18" s="96" customFormat="1" ht="13.8" x14ac:dyDescent="0.3">
      <c r="G115" s="286">
        <v>3270</v>
      </c>
      <c r="H115" s="370">
        <v>43376</v>
      </c>
      <c r="I115" s="285" t="s">
        <v>172</v>
      </c>
      <c r="J115" s="285" t="s">
        <v>778</v>
      </c>
      <c r="K115" s="285" t="s">
        <v>53</v>
      </c>
      <c r="L115" s="371">
        <v>200</v>
      </c>
      <c r="M115" s="378"/>
      <c r="N115" s="371">
        <f>IF(ISBLANK(CkReg16_181519[[#This Row],[Withdrawal]]),N114+CkReg16_181519[[#This Row],[Deposit]],N114-CkReg16_181519[[#This Row],[Withdrawal]])</f>
        <v>-757.57199999999921</v>
      </c>
      <c r="O115" s="372">
        <v>43383</v>
      </c>
      <c r="P115" s="371">
        <f>IF(ISBLANK(CkReg16_181519[[#This Row],[Withdrawal]]),P114+CkReg16_181519[[#This Row],[Deposit]],P114-CkReg16_181519[[#This Row],[Withdrawal]])</f>
        <v>7957.4279999999926</v>
      </c>
      <c r="Q115" s="376"/>
    </row>
    <row r="116" spans="2:18" s="96" customFormat="1" ht="13.8" x14ac:dyDescent="0.3">
      <c r="G116" s="285"/>
      <c r="H116" s="370">
        <v>43376</v>
      </c>
      <c r="I116" s="285"/>
      <c r="J116" s="285" t="s">
        <v>779</v>
      </c>
      <c r="K116" s="285" t="s">
        <v>61</v>
      </c>
      <c r="L116" s="371"/>
      <c r="M116" s="371">
        <v>5667.11</v>
      </c>
      <c r="N116" s="371">
        <f>IF(ISBLANK(CkReg16_181519[[#This Row],[Withdrawal]]),N115+CkReg16_181519[[#This Row],[Deposit]],N115-CkReg16_181519[[#This Row],[Withdrawal]])</f>
        <v>4909.5380000000005</v>
      </c>
      <c r="O116" s="372">
        <v>43378</v>
      </c>
      <c r="P116" s="371">
        <f>IF(ISBLANK(CkReg16_181519[[#This Row],[Withdrawal]]),P115+CkReg16_181519[[#This Row],[Deposit]],P115-CkReg16_181519[[#This Row],[Withdrawal]])</f>
        <v>13624.537999999993</v>
      </c>
      <c r="Q116" s="383"/>
    </row>
    <row r="117" spans="2:18" s="96" customFormat="1" ht="13.8" x14ac:dyDescent="0.3">
      <c r="G117" s="285"/>
      <c r="H117" s="370">
        <v>43376</v>
      </c>
      <c r="I117" s="285"/>
      <c r="J117" s="285" t="s">
        <v>780</v>
      </c>
      <c r="K117" s="285" t="s">
        <v>389</v>
      </c>
      <c r="L117" s="371">
        <v>-137.5</v>
      </c>
      <c r="M117" s="371"/>
      <c r="N117" s="371">
        <f>IF(ISBLANK(CkReg16_181519[[#This Row],[Withdrawal]]),N116+CkReg16_181519[[#This Row],[Deposit]],N116-CkReg16_181519[[#This Row],[Withdrawal]])</f>
        <v>5047.0380000000005</v>
      </c>
      <c r="O117" s="372">
        <v>43378</v>
      </c>
      <c r="P117" s="371">
        <f>IF(ISBLANK(CkReg16_181519[[#This Row],[Withdrawal]]),P116+CkReg16_181519[[#This Row],[Deposit]],P116-CkReg16_181519[[#This Row],[Withdrawal]])</f>
        <v>13762.037999999993</v>
      </c>
      <c r="Q117" s="383"/>
    </row>
    <row r="118" spans="2:18" s="297" customFormat="1" x14ac:dyDescent="0.3">
      <c r="B118" s="96"/>
      <c r="C118" s="96"/>
      <c r="D118" s="96"/>
      <c r="E118" s="96"/>
      <c r="F118" s="96"/>
      <c r="G118" s="286">
        <v>3271</v>
      </c>
      <c r="H118" s="370">
        <v>43379</v>
      </c>
      <c r="I118" s="285" t="s">
        <v>92</v>
      </c>
      <c r="J118" s="285" t="s">
        <v>738</v>
      </c>
      <c r="K118" s="285" t="s">
        <v>43</v>
      </c>
      <c r="L118" s="371">
        <v>75</v>
      </c>
      <c r="M118" s="371"/>
      <c r="N118" s="371">
        <f>IF(ISBLANK(CkReg16_181519[[#This Row],[Withdrawal]]),N117+CkReg16_181519[[#This Row],[Deposit]],N117-CkReg16_181519[[#This Row],[Withdrawal]])</f>
        <v>4972.0380000000005</v>
      </c>
      <c r="O118" s="372">
        <v>43383</v>
      </c>
      <c r="P118" s="371">
        <f>IF(ISBLANK(CkReg16_181519[[#This Row],[Withdrawal]]),P117+CkReg16_181519[[#This Row],[Deposit]],P117-CkReg16_181519[[#This Row],[Withdrawal]])</f>
        <v>13687.037999999993</v>
      </c>
      <c r="Q118" s="384"/>
      <c r="R118" s="397">
        <f>+M116-L117</f>
        <v>5804.61</v>
      </c>
    </row>
    <row r="119" spans="2:18" s="96" customFormat="1" ht="13.8" x14ac:dyDescent="0.3">
      <c r="G119" s="286">
        <v>3272</v>
      </c>
      <c r="H119" s="370">
        <v>43379</v>
      </c>
      <c r="I119" s="285" t="s">
        <v>362</v>
      </c>
      <c r="J119" s="285" t="s">
        <v>39</v>
      </c>
      <c r="K119" s="285" t="s">
        <v>39</v>
      </c>
      <c r="L119" s="371">
        <f>75.62/2</f>
        <v>37.81</v>
      </c>
      <c r="M119" s="378"/>
      <c r="N119" s="371">
        <f>IF(ISBLANK(CkReg16_181519[[#This Row],[Withdrawal]]),N118+CkReg16_181519[[#This Row],[Deposit]],N118-CkReg16_181519[[#This Row],[Withdrawal]])</f>
        <v>4934.2280000000001</v>
      </c>
      <c r="O119" s="372">
        <v>43444</v>
      </c>
      <c r="P119" s="371">
        <f>IF(ISBLANK(CkReg16_181519[[#This Row],[Withdrawal]]),P118+CkReg16_181519[[#This Row],[Deposit]],P118-CkReg16_181519[[#This Row],[Withdrawal]])</f>
        <v>13649.227999999994</v>
      </c>
      <c r="Q119" s="383"/>
    </row>
    <row r="120" spans="2:18" s="96" customFormat="1" ht="13.8" x14ac:dyDescent="0.3">
      <c r="G120" s="285">
        <v>3272</v>
      </c>
      <c r="H120" s="370">
        <v>43379</v>
      </c>
      <c r="I120" s="285" t="s">
        <v>362</v>
      </c>
      <c r="J120" s="285" t="s">
        <v>39</v>
      </c>
      <c r="K120" s="285" t="s">
        <v>36</v>
      </c>
      <c r="L120" s="371">
        <v>37.81</v>
      </c>
      <c r="M120" s="371"/>
      <c r="N120" s="371">
        <f>IF(ISBLANK(CkReg16_181519[[#This Row],[Withdrawal]]),N119+CkReg16_181519[[#This Row],[Deposit]],N119-CkReg16_181519[[#This Row],[Withdrawal]])</f>
        <v>4896.4179999999997</v>
      </c>
      <c r="O120" s="372">
        <v>43444</v>
      </c>
      <c r="P120" s="371">
        <f>IF(ISBLANK(CkReg16_181519[[#This Row],[Withdrawal]]),P119+CkReg16_181519[[#This Row],[Deposit]],P119-CkReg16_181519[[#This Row],[Withdrawal]])</f>
        <v>13611.417999999994</v>
      </c>
      <c r="Q120" s="383"/>
    </row>
    <row r="121" spans="2:18" s="96" customFormat="1" ht="13.8" x14ac:dyDescent="0.3">
      <c r="G121" s="285">
        <v>3273</v>
      </c>
      <c r="H121" s="370">
        <v>43379</v>
      </c>
      <c r="I121" s="285" t="s">
        <v>782</v>
      </c>
      <c r="J121" s="285" t="s">
        <v>783</v>
      </c>
      <c r="K121" s="285" t="s">
        <v>590</v>
      </c>
      <c r="L121" s="371"/>
      <c r="M121" s="371">
        <v>-45.45</v>
      </c>
      <c r="N121" s="371">
        <f>IF(ISBLANK(CkReg16_181519[[#This Row],[Withdrawal]]),N120+CkReg16_181519[[#This Row],[Deposit]],N120-CkReg16_181519[[#This Row],[Withdrawal]])</f>
        <v>4850.9679999999998</v>
      </c>
      <c r="O121" s="372">
        <v>43397</v>
      </c>
      <c r="P121" s="371">
        <f>IF(ISBLANK(CkReg16_181519[[#This Row],[Withdrawal]]),P120+CkReg16_181519[[#This Row],[Deposit]],P120-CkReg16_181519[[#This Row],[Withdrawal]])</f>
        <v>13565.967999999993</v>
      </c>
      <c r="Q121" s="383"/>
    </row>
    <row r="122" spans="2:18" s="96" customFormat="1" ht="13.8" x14ac:dyDescent="0.3">
      <c r="G122" s="285">
        <v>3274</v>
      </c>
      <c r="H122" s="370">
        <v>43379</v>
      </c>
      <c r="I122" s="285" t="s">
        <v>131</v>
      </c>
      <c r="J122" s="285" t="s">
        <v>453</v>
      </c>
      <c r="K122" s="285" t="s">
        <v>49</v>
      </c>
      <c r="L122" s="371">
        <f>35.02-23.42</f>
        <v>11.600000000000001</v>
      </c>
      <c r="M122" s="371"/>
      <c r="N122" s="371">
        <f>IF(ISBLANK(CkReg16_181519[[#This Row],[Withdrawal]]),N121+CkReg16_181519[[#This Row],[Deposit]],N121-CkReg16_181519[[#This Row],[Withdrawal]])</f>
        <v>4839.3679999999995</v>
      </c>
      <c r="O122" s="372">
        <v>43640</v>
      </c>
      <c r="P122" s="371">
        <f>IF(ISBLANK(CkReg16_181519[[#This Row],[Withdrawal]]),P121+CkReg16_181519[[#This Row],[Deposit]],P121-CkReg16_181519[[#This Row],[Withdrawal]])</f>
        <v>13554.367999999993</v>
      </c>
      <c r="Q122" s="383"/>
    </row>
    <row r="123" spans="2:18" s="96" customFormat="1" ht="13.8" x14ac:dyDescent="0.3">
      <c r="G123" s="285">
        <v>3274</v>
      </c>
      <c r="H123" s="370">
        <v>43379</v>
      </c>
      <c r="I123" s="285" t="s">
        <v>131</v>
      </c>
      <c r="J123" s="285" t="s">
        <v>793</v>
      </c>
      <c r="K123" s="285" t="s">
        <v>573</v>
      </c>
      <c r="L123" s="371">
        <v>23.42</v>
      </c>
      <c r="M123" s="371"/>
      <c r="N123" s="371">
        <f>IF(ISBLANK(CkReg16_181519[[#This Row],[Withdrawal]]),N122+CkReg16_181519[[#This Row],[Deposit]],N122-CkReg16_181519[[#This Row],[Withdrawal]])</f>
        <v>4815.9479999999994</v>
      </c>
      <c r="O123" s="372">
        <v>43640</v>
      </c>
      <c r="P123" s="371">
        <f>IF(ISBLANK(CkReg16_181519[[#This Row],[Withdrawal]]),P122+CkReg16_181519[[#This Row],[Deposit]],P122-CkReg16_181519[[#This Row],[Withdrawal]])</f>
        <v>13530.947999999993</v>
      </c>
      <c r="Q123" s="383"/>
    </row>
    <row r="124" spans="2:18" s="96" customFormat="1" ht="13.8" x14ac:dyDescent="0.3">
      <c r="G124" s="285">
        <v>3275</v>
      </c>
      <c r="H124" s="370">
        <v>43379</v>
      </c>
      <c r="I124" s="285" t="s">
        <v>137</v>
      </c>
      <c r="J124" s="285" t="s">
        <v>784</v>
      </c>
      <c r="K124" s="285" t="s">
        <v>68</v>
      </c>
      <c r="L124" s="371">
        <v>50</v>
      </c>
      <c r="M124" s="371"/>
      <c r="N124" s="371">
        <f>IF(ISBLANK(CkReg16_181519[[#This Row],[Withdrawal]]),N123+CkReg16_181519[[#This Row],[Deposit]],N123-CkReg16_181519[[#This Row],[Withdrawal]])</f>
        <v>4765.9479999999994</v>
      </c>
      <c r="O124" s="372">
        <v>43383</v>
      </c>
      <c r="P124" s="371">
        <f>IF(ISBLANK(CkReg16_181519[[#This Row],[Withdrawal]]),P123+CkReg16_181519[[#This Row],[Deposit]],P123-CkReg16_181519[[#This Row],[Withdrawal]])</f>
        <v>13480.947999999993</v>
      </c>
      <c r="Q124" s="383"/>
    </row>
    <row r="125" spans="2:18" s="96" customFormat="1" ht="13.8" x14ac:dyDescent="0.3">
      <c r="G125" s="285">
        <v>3226</v>
      </c>
      <c r="H125" s="370">
        <v>43379</v>
      </c>
      <c r="I125" s="285" t="s">
        <v>758</v>
      </c>
      <c r="J125" s="285" t="s">
        <v>785</v>
      </c>
      <c r="K125" s="285" t="s">
        <v>73</v>
      </c>
      <c r="L125" s="371">
        <v>72.5</v>
      </c>
      <c r="M125" s="371"/>
      <c r="N125" s="371">
        <f>IF(ISBLANK(CkReg16_181519[[#This Row],[Withdrawal]]),N124+CkReg16_181519[[#This Row],[Deposit]],N124-CkReg16_181519[[#This Row],[Withdrawal]])</f>
        <v>4693.4479999999994</v>
      </c>
      <c r="O125" s="372">
        <v>43382</v>
      </c>
      <c r="P125" s="371">
        <f>IF(ISBLANK(CkReg16_181519[[#This Row],[Withdrawal]]),P124+CkReg16_181519[[#This Row],[Deposit]],P124-CkReg16_181519[[#This Row],[Withdrawal]])</f>
        <v>13408.447999999993</v>
      </c>
      <c r="Q125" s="383"/>
    </row>
    <row r="126" spans="2:18" s="96" customFormat="1" ht="13.8" x14ac:dyDescent="0.3">
      <c r="G126" s="285">
        <v>3227</v>
      </c>
      <c r="H126" s="370">
        <v>43379</v>
      </c>
      <c r="I126" s="285" t="s">
        <v>787</v>
      </c>
      <c r="J126" s="285"/>
      <c r="K126" s="285" t="s">
        <v>66</v>
      </c>
      <c r="L126" s="371">
        <v>21.36</v>
      </c>
      <c r="M126" s="371"/>
      <c r="N126" s="371">
        <f>IF(ISBLANK(CkReg16_181519[[#This Row],[Withdrawal]]),N125+CkReg16_181519[[#This Row],[Deposit]],N125-CkReg16_181519[[#This Row],[Withdrawal]])</f>
        <v>4672.0879999999997</v>
      </c>
      <c r="O126" s="372">
        <v>43382</v>
      </c>
      <c r="P126" s="371">
        <f>IF(ISBLANK(CkReg16_181519[[#This Row],[Withdrawal]]),P125+CkReg16_181519[[#This Row],[Deposit]],P125-CkReg16_181519[[#This Row],[Withdrawal]])</f>
        <v>13387.087999999992</v>
      </c>
      <c r="Q126" s="376"/>
    </row>
    <row r="127" spans="2:18" s="96" customFormat="1" ht="13.8" x14ac:dyDescent="0.3">
      <c r="G127" s="285">
        <v>3227</v>
      </c>
      <c r="H127" s="370">
        <v>43379</v>
      </c>
      <c r="I127" s="285" t="s">
        <v>787</v>
      </c>
      <c r="J127" s="285" t="s">
        <v>785</v>
      </c>
      <c r="K127" s="285" t="s">
        <v>73</v>
      </c>
      <c r="L127" s="371">
        <v>28.21</v>
      </c>
      <c r="M127" s="371"/>
      <c r="N127" s="371">
        <f>IF(ISBLANK(CkReg16_181519[[#This Row],[Withdrawal]]),N126+CkReg16_181519[[#This Row],[Deposit]],N126-CkReg16_181519[[#This Row],[Withdrawal]])</f>
        <v>4643.8779999999997</v>
      </c>
      <c r="O127" s="372">
        <v>43382</v>
      </c>
      <c r="P127" s="371">
        <f>IF(ISBLANK(CkReg16_181519[[#This Row],[Withdrawal]]),P126+CkReg16_181519[[#This Row],[Deposit]],P126-CkReg16_181519[[#This Row],[Withdrawal]])</f>
        <v>13358.877999999993</v>
      </c>
      <c r="Q127" s="376"/>
    </row>
    <row r="128" spans="2:18" s="96" customFormat="1" ht="13.8" x14ac:dyDescent="0.3">
      <c r="G128" s="285">
        <v>3228</v>
      </c>
      <c r="H128" s="370">
        <v>43379</v>
      </c>
      <c r="I128" s="285" t="s">
        <v>128</v>
      </c>
      <c r="J128" s="285" t="s">
        <v>786</v>
      </c>
      <c r="K128" s="285" t="s">
        <v>71</v>
      </c>
      <c r="L128" s="371">
        <v>9.0399999999999991</v>
      </c>
      <c r="M128" s="371"/>
      <c r="N128" s="371">
        <f>IF(ISBLANK(CkReg16_181519[[#This Row],[Withdrawal]]),N127+CkReg16_181519[[#This Row],[Deposit]],N127-CkReg16_181519[[#This Row],[Withdrawal]])</f>
        <v>4634.8379999999997</v>
      </c>
      <c r="O128" s="372">
        <v>43385</v>
      </c>
      <c r="P128" s="371">
        <f>IF(ISBLANK(CkReg16_181519[[#This Row],[Withdrawal]]),P127+CkReg16_181519[[#This Row],[Deposit]],P127-CkReg16_181519[[#This Row],[Withdrawal]])</f>
        <v>13349.837999999992</v>
      </c>
      <c r="Q128" s="376"/>
    </row>
    <row r="129" spans="7:17" s="96" customFormat="1" ht="13.8" x14ac:dyDescent="0.3">
      <c r="G129" s="286">
        <v>3229</v>
      </c>
      <c r="H129" s="370">
        <v>43379</v>
      </c>
      <c r="I129" s="285" t="s">
        <v>172</v>
      </c>
      <c r="J129" s="285"/>
      <c r="K129" s="285" t="s">
        <v>67</v>
      </c>
      <c r="L129" s="371">
        <v>100</v>
      </c>
      <c r="M129" s="371"/>
      <c r="N129" s="371">
        <f>IF(ISBLANK(CkReg16_181519[[#This Row],[Withdrawal]]),N128+CkReg16_181519[[#This Row],[Deposit]],N128-CkReg16_181519[[#This Row],[Withdrawal]])</f>
        <v>4534.8379999999997</v>
      </c>
      <c r="O129" s="372">
        <v>43383</v>
      </c>
      <c r="P129" s="371">
        <f>IF(ISBLANK(CkReg16_181519[[#This Row],[Withdrawal]]),P128+CkReg16_181519[[#This Row],[Deposit]],P128-CkReg16_181519[[#This Row],[Withdrawal]])</f>
        <v>13249.837999999992</v>
      </c>
      <c r="Q129" s="376"/>
    </row>
    <row r="130" spans="7:17" s="96" customFormat="1" ht="13.8" x14ac:dyDescent="0.3">
      <c r="G130" s="286">
        <v>3230</v>
      </c>
      <c r="H130" s="370">
        <v>43379</v>
      </c>
      <c r="I130" s="285" t="s">
        <v>723</v>
      </c>
      <c r="J130" s="285" t="s">
        <v>491</v>
      </c>
      <c r="K130" s="285" t="s">
        <v>34</v>
      </c>
      <c r="L130" s="371">
        <v>300</v>
      </c>
      <c r="M130" s="371"/>
      <c r="N130" s="371">
        <f>IF(ISBLANK(CkReg16_181519[[#This Row],[Withdrawal]]),N129+CkReg16_181519[[#This Row],[Deposit]],N129-CkReg16_181519[[#This Row],[Withdrawal]])</f>
        <v>4234.8379999999997</v>
      </c>
      <c r="O130" s="372">
        <v>43383</v>
      </c>
      <c r="P130" s="371">
        <f>IF(ISBLANK(CkReg16_181519[[#This Row],[Withdrawal]]),P129+CkReg16_181519[[#This Row],[Deposit]],P129-CkReg16_181519[[#This Row],[Withdrawal]])</f>
        <v>12949.837999999992</v>
      </c>
      <c r="Q130" s="376"/>
    </row>
    <row r="131" spans="7:17" s="96" customFormat="1" ht="13.8" x14ac:dyDescent="0.3">
      <c r="G131" s="286">
        <v>3231</v>
      </c>
      <c r="H131" s="370">
        <v>43379</v>
      </c>
      <c r="I131" s="285" t="s">
        <v>788</v>
      </c>
      <c r="J131" s="285" t="s">
        <v>751</v>
      </c>
      <c r="K131" s="285" t="s">
        <v>34</v>
      </c>
      <c r="L131" s="371">
        <v>50</v>
      </c>
      <c r="M131" s="371"/>
      <c r="N131" s="371">
        <f>IF(ISBLANK(CkReg16_181519[[#This Row],[Withdrawal]]),N130+CkReg16_181519[[#This Row],[Deposit]],N130-CkReg16_181519[[#This Row],[Withdrawal]])</f>
        <v>4184.8379999999997</v>
      </c>
      <c r="O131" s="372">
        <v>43409</v>
      </c>
      <c r="P131" s="371">
        <f>IF(ISBLANK(CkReg16_181519[[#This Row],[Withdrawal]]),P130+CkReg16_181519[[#This Row],[Deposit]],P130-CkReg16_181519[[#This Row],[Withdrawal]])</f>
        <v>12899.837999999992</v>
      </c>
      <c r="Q131" s="376"/>
    </row>
    <row r="132" spans="7:17" s="96" customFormat="1" ht="13.8" x14ac:dyDescent="0.3">
      <c r="G132" s="286">
        <v>3232</v>
      </c>
      <c r="H132" s="370">
        <v>43379</v>
      </c>
      <c r="I132" s="285" t="s">
        <v>133</v>
      </c>
      <c r="J132" s="285" t="s">
        <v>789</v>
      </c>
      <c r="K132" s="285" t="s">
        <v>34</v>
      </c>
      <c r="L132" s="371">
        <v>150</v>
      </c>
      <c r="M132" s="371"/>
      <c r="N132" s="371">
        <f>IF(ISBLANK(CkReg16_181519[[#This Row],[Withdrawal]]),N131+CkReg16_181519[[#This Row],[Deposit]],N131-CkReg16_181519[[#This Row],[Withdrawal]])</f>
        <v>4034.8379999999997</v>
      </c>
      <c r="O132" s="372">
        <v>43382</v>
      </c>
      <c r="P132" s="371">
        <f>IF(ISBLANK(CkReg16_181519[[#This Row],[Withdrawal]]),P131+CkReg16_181519[[#This Row],[Deposit]],P131-CkReg16_181519[[#This Row],[Withdrawal]])</f>
        <v>12749.837999999992</v>
      </c>
      <c r="Q132" s="376"/>
    </row>
    <row r="133" spans="7:17" s="96" customFormat="1" ht="13.8" x14ac:dyDescent="0.3">
      <c r="G133" s="286">
        <v>3233</v>
      </c>
      <c r="H133" s="370">
        <v>43379</v>
      </c>
      <c r="I133" s="285" t="s">
        <v>133</v>
      </c>
      <c r="J133" s="285" t="s">
        <v>754</v>
      </c>
      <c r="K133" s="285" t="s">
        <v>51</v>
      </c>
      <c r="L133" s="371">
        <v>80</v>
      </c>
      <c r="M133" s="371"/>
      <c r="N133" s="371">
        <f>IF(ISBLANK(CkReg16_181519[[#This Row],[Withdrawal]]),N132+CkReg16_181519[[#This Row],[Deposit]],N132-CkReg16_181519[[#This Row],[Withdrawal]])</f>
        <v>3954.8379999999997</v>
      </c>
      <c r="O133" s="372">
        <v>43382</v>
      </c>
      <c r="P133" s="371">
        <f>IF(ISBLANK(CkReg16_181519[[#This Row],[Withdrawal]]),P132+CkReg16_181519[[#This Row],[Deposit]],P132-CkReg16_181519[[#This Row],[Withdrawal]])</f>
        <v>12669.837999999992</v>
      </c>
      <c r="Q133" s="376"/>
    </row>
    <row r="134" spans="7:17" s="96" customFormat="1" ht="13.8" x14ac:dyDescent="0.3">
      <c r="G134" s="286"/>
      <c r="H134" s="370">
        <v>43379</v>
      </c>
      <c r="I134" s="285"/>
      <c r="J134" s="285"/>
      <c r="K134" s="285" t="s">
        <v>32</v>
      </c>
      <c r="L134" s="371"/>
      <c r="M134" s="371">
        <v>110</v>
      </c>
      <c r="N134" s="371">
        <f>IF(ISBLANK(CkReg16_181519[[#This Row],[Withdrawal]]),N133+CkReg16_181519[[#This Row],[Deposit]],N133-CkReg16_181519[[#This Row],[Withdrawal]])</f>
        <v>4064.8379999999997</v>
      </c>
      <c r="O134" s="372">
        <v>43383</v>
      </c>
      <c r="P134" s="371">
        <f>IF(ISBLANK(CkReg16_181519[[#This Row],[Withdrawal]]),P133+CkReg16_181519[[#This Row],[Deposit]],P133-CkReg16_181519[[#This Row],[Withdrawal]])</f>
        <v>12779.837999999992</v>
      </c>
      <c r="Q134" s="376"/>
    </row>
    <row r="135" spans="7:17" s="96" customFormat="1" ht="13.8" x14ac:dyDescent="0.3">
      <c r="G135" s="286"/>
      <c r="H135" s="370">
        <v>43379</v>
      </c>
      <c r="I135" s="285" t="s">
        <v>156</v>
      </c>
      <c r="J135" s="285" t="s">
        <v>790</v>
      </c>
      <c r="K135" s="285" t="s">
        <v>33</v>
      </c>
      <c r="L135" s="371"/>
      <c r="M135" s="371">
        <v>23.03</v>
      </c>
      <c r="N135" s="371">
        <f>IF(ISBLANK(CkReg16_181519[[#This Row],[Withdrawal]]),N134+CkReg16_181519[[#This Row],[Deposit]],N134-CkReg16_181519[[#This Row],[Withdrawal]])</f>
        <v>4087.8679999999999</v>
      </c>
      <c r="O135" s="372">
        <v>43383</v>
      </c>
      <c r="P135" s="371">
        <f>IF(ISBLANK(CkReg16_181519[[#This Row],[Withdrawal]]),P134+CkReg16_181519[[#This Row],[Deposit]],P134-CkReg16_181519[[#This Row],[Withdrawal]])</f>
        <v>12802.867999999993</v>
      </c>
      <c r="Q135" s="376"/>
    </row>
    <row r="136" spans="7:17" s="96" customFormat="1" ht="13.8" x14ac:dyDescent="0.3">
      <c r="G136" s="286"/>
      <c r="H136" s="370">
        <v>43379</v>
      </c>
      <c r="I136" s="285" t="s">
        <v>128</v>
      </c>
      <c r="J136" s="285" t="s">
        <v>791</v>
      </c>
      <c r="K136" s="285" t="s">
        <v>60</v>
      </c>
      <c r="L136" s="371"/>
      <c r="M136" s="371">
        <v>16</v>
      </c>
      <c r="N136" s="371">
        <f>IF(ISBLANK(CkReg16_181519[[#This Row],[Withdrawal]]),N135+CkReg16_181519[[#This Row],[Deposit]],N135-CkReg16_181519[[#This Row],[Withdrawal]])</f>
        <v>4103.8680000000004</v>
      </c>
      <c r="O136" s="372">
        <v>43383</v>
      </c>
      <c r="P136" s="371">
        <f>IF(ISBLANK(CkReg16_181519[[#This Row],[Withdrawal]]),P135+CkReg16_181519[[#This Row],[Deposit]],P135-CkReg16_181519[[#This Row],[Withdrawal]])</f>
        <v>12818.867999999993</v>
      </c>
      <c r="Q136" s="376"/>
    </row>
    <row r="137" spans="7:17" s="96" customFormat="1" ht="13.8" x14ac:dyDescent="0.3">
      <c r="G137" s="286"/>
      <c r="H137" s="370">
        <v>43400</v>
      </c>
      <c r="I137" s="285"/>
      <c r="J137" s="285" t="s">
        <v>792</v>
      </c>
      <c r="K137" s="285" t="s">
        <v>33</v>
      </c>
      <c r="L137" s="371"/>
      <c r="M137" s="371">
        <v>259.95999999999998</v>
      </c>
      <c r="N137" s="371">
        <f>IF(ISBLANK(CkReg16_181519[[#This Row],[Withdrawal]]),N136+CkReg16_181519[[#This Row],[Deposit]],N136-CkReg16_181519[[#This Row],[Withdrawal]])</f>
        <v>4363.8280000000004</v>
      </c>
      <c r="O137" s="372">
        <v>43437</v>
      </c>
      <c r="P137" s="371">
        <f>IF(ISBLANK(CkReg16_181519[[#This Row],[Withdrawal]]),P136+CkReg16_181519[[#This Row],[Deposit]],P136-CkReg16_181519[[#This Row],[Withdrawal]])</f>
        <v>13078.827999999992</v>
      </c>
      <c r="Q137" s="376"/>
    </row>
    <row r="138" spans="7:17" s="96" customFormat="1" ht="13.8" x14ac:dyDescent="0.3">
      <c r="G138" s="286"/>
      <c r="H138" s="370">
        <v>43404</v>
      </c>
      <c r="I138" s="285"/>
      <c r="J138" s="285"/>
      <c r="K138" s="285" t="s">
        <v>91</v>
      </c>
      <c r="L138" s="371">
        <v>-0.67</v>
      </c>
      <c r="M138" s="371"/>
      <c r="N138" s="371">
        <f>IF(ISBLANK(CkReg16_181519[[#This Row],[Withdrawal]]),N137+CkReg16_181519[[#This Row],[Deposit]],N137-CkReg16_181519[[#This Row],[Withdrawal]])</f>
        <v>4364.4980000000005</v>
      </c>
      <c r="O138" s="372">
        <v>43404</v>
      </c>
      <c r="P138" s="371">
        <f>IF(ISBLANK(CkReg16_181519[[#This Row],[Withdrawal]]),P137+CkReg16_181519[[#This Row],[Deposit]],P137-CkReg16_181519[[#This Row],[Withdrawal]])</f>
        <v>13079.497999999992</v>
      </c>
      <c r="Q138" s="376">
        <v>43404</v>
      </c>
    </row>
    <row r="139" spans="7:17" s="96" customFormat="1" ht="13.8" x14ac:dyDescent="0.3">
      <c r="G139" s="286">
        <v>3234</v>
      </c>
      <c r="H139" s="370">
        <v>43434</v>
      </c>
      <c r="I139" s="285" t="s">
        <v>362</v>
      </c>
      <c r="J139" s="285" t="s">
        <v>39</v>
      </c>
      <c r="K139" s="285" t="s">
        <v>39</v>
      </c>
      <c r="L139" s="371">
        <v>24.91</v>
      </c>
      <c r="M139" s="371"/>
      <c r="N139" s="371">
        <f>IF(ISBLANK(CkReg16_181519[[#This Row],[Withdrawal]]),N138+CkReg16_181519[[#This Row],[Deposit]],N138-CkReg16_181519[[#This Row],[Withdrawal]])</f>
        <v>4339.5880000000006</v>
      </c>
      <c r="O139" s="372">
        <v>43444</v>
      </c>
      <c r="P139" s="371">
        <f>IF(ISBLANK(CkReg16_181519[[#This Row],[Withdrawal]]),P138+CkReg16_181519[[#This Row],[Deposit]],P138-CkReg16_181519[[#This Row],[Withdrawal]])</f>
        <v>13054.587999999992</v>
      </c>
      <c r="Q139" s="376"/>
    </row>
    <row r="140" spans="7:17" s="96" customFormat="1" ht="13.8" x14ac:dyDescent="0.3">
      <c r="G140" s="286">
        <v>3234</v>
      </c>
      <c r="H140" s="370">
        <v>43434</v>
      </c>
      <c r="I140" s="285" t="s">
        <v>362</v>
      </c>
      <c r="J140" s="285" t="s">
        <v>39</v>
      </c>
      <c r="K140" s="285" t="s">
        <v>36</v>
      </c>
      <c r="L140" s="371">
        <v>24.9</v>
      </c>
      <c r="M140" s="371"/>
      <c r="N140" s="371">
        <f>IF(ISBLANK(CkReg16_181519[[#This Row],[Withdrawal]]),N139+CkReg16_181519[[#This Row],[Deposit]],N139-CkReg16_181519[[#This Row],[Withdrawal]])</f>
        <v>4314.688000000001</v>
      </c>
      <c r="O140" s="372">
        <v>43444</v>
      </c>
      <c r="P140" s="371">
        <f>IF(ISBLANK(CkReg16_181519[[#This Row],[Withdrawal]]),P139+CkReg16_181519[[#This Row],[Deposit]],P139-CkReg16_181519[[#This Row],[Withdrawal]])</f>
        <v>13029.687999999993</v>
      </c>
      <c r="Q140" s="376"/>
    </row>
    <row r="141" spans="7:17" s="96" customFormat="1" ht="13.8" x14ac:dyDescent="0.3">
      <c r="G141" s="286"/>
      <c r="H141" s="370">
        <v>43434</v>
      </c>
      <c r="I141" s="285"/>
      <c r="J141" s="285"/>
      <c r="K141" s="285" t="s">
        <v>91</v>
      </c>
      <c r="L141" s="371">
        <v>-0.53</v>
      </c>
      <c r="M141" s="378"/>
      <c r="N141" s="371">
        <f>IF(ISBLANK(CkReg16_181519[[#This Row],[Withdrawal]]),N140+CkReg16_181519[[#This Row],[Deposit]],N140-CkReg16_181519[[#This Row],[Withdrawal]])</f>
        <v>4315.2180000000008</v>
      </c>
      <c r="O141" s="372">
        <v>43434</v>
      </c>
      <c r="P141" s="371">
        <f>IF(ISBLANK(CkReg16_181519[[#This Row],[Withdrawal]]),P140+CkReg16_181519[[#This Row],[Deposit]],P140-CkReg16_181519[[#This Row],[Withdrawal]])</f>
        <v>13030.217999999993</v>
      </c>
      <c r="Q141" s="376"/>
    </row>
    <row r="142" spans="7:17" s="96" customFormat="1" ht="13.8" x14ac:dyDescent="0.3">
      <c r="G142" s="286"/>
      <c r="H142" s="370">
        <v>43434</v>
      </c>
      <c r="I142" s="285"/>
      <c r="J142" s="285"/>
      <c r="K142" s="285" t="s">
        <v>44</v>
      </c>
      <c r="L142" s="371">
        <v>10</v>
      </c>
      <c r="M142" s="378"/>
      <c r="N142" s="371">
        <f>IF(ISBLANK(CkReg16_181519[[#This Row],[Withdrawal]]),N141+CkReg16_181519[[#This Row],[Deposit]],N141-CkReg16_181519[[#This Row],[Withdrawal]])</f>
        <v>4305.2180000000008</v>
      </c>
      <c r="O142" s="372">
        <v>43434</v>
      </c>
      <c r="P142" s="371">
        <f>IF(ISBLANK(CkReg16_181519[[#This Row],[Withdrawal]]),P141+CkReg16_181519[[#This Row],[Deposit]],P141-CkReg16_181519[[#This Row],[Withdrawal]])</f>
        <v>13020.217999999993</v>
      </c>
      <c r="Q142" s="376">
        <v>43434</v>
      </c>
    </row>
    <row r="143" spans="7:17" s="96" customFormat="1" x14ac:dyDescent="0.3">
      <c r="G143" s="286"/>
      <c r="H143" s="370"/>
      <c r="I143" s="285"/>
      <c r="J143" s="285"/>
      <c r="K143" s="285"/>
      <c r="L143" s="371"/>
      <c r="M143" s="385"/>
      <c r="N143" s="371">
        <f>IF(ISBLANK(CkReg16_181519[[#This Row],[Withdrawal]]),N142+CkReg16_181519[[#This Row],[Deposit]],N142-CkReg16_181519[[#This Row],[Withdrawal]])</f>
        <v>4305.2180000000008</v>
      </c>
      <c r="O143" s="372"/>
      <c r="P143" s="371">
        <f>IF(ISBLANK(CkReg16_181519[[#This Row],[Withdrawal]]),P142+CkReg16_181519[[#This Row],[Deposit]],P142-CkReg16_181519[[#This Row],[Withdrawal]])</f>
        <v>13020.217999999993</v>
      </c>
      <c r="Q143" s="376"/>
    </row>
    <row r="144" spans="7:17" s="96" customFormat="1" x14ac:dyDescent="0.3">
      <c r="G144" s="286"/>
      <c r="H144" s="370"/>
      <c r="I144" s="285"/>
      <c r="J144" s="285"/>
      <c r="K144" s="285"/>
      <c r="L144" s="386"/>
      <c r="M144" s="371"/>
      <c r="N144" s="371">
        <f>IF(ISBLANK(CkReg16_181519[[#This Row],[Withdrawal]]),N143+CkReg16_181519[[#This Row],[Deposit]],N143-CkReg16_181519[[#This Row],[Withdrawal]])</f>
        <v>4305.2180000000008</v>
      </c>
      <c r="O144" s="372"/>
      <c r="P144" s="371">
        <f>IF(ISBLANK(CkReg16_181519[[#This Row],[Withdrawal]]),P143+CkReg16_181519[[#This Row],[Deposit]],P143-CkReg16_181519[[#This Row],[Withdrawal]])</f>
        <v>13020.217999999993</v>
      </c>
      <c r="Q144" s="376"/>
    </row>
    <row r="145" spans="7:17" s="96" customFormat="1" ht="13.8" x14ac:dyDescent="0.3">
      <c r="G145" s="286"/>
      <c r="H145" s="370"/>
      <c r="I145" s="285"/>
      <c r="J145" s="285"/>
      <c r="K145" s="285"/>
      <c r="L145" s="371"/>
      <c r="M145" s="371"/>
      <c r="N145" s="371">
        <f>IF(ISBLANK(CkReg16_181519[[#This Row],[Withdrawal]]),N144+CkReg16_181519[[#This Row],[Deposit]],N144-CkReg16_181519[[#This Row],[Withdrawal]])</f>
        <v>4305.2180000000008</v>
      </c>
      <c r="O145" s="372"/>
      <c r="P145" s="371">
        <f>IF(ISBLANK(CkReg16_181519[[#This Row],[Withdrawal]]),P144+CkReg16_181519[[#This Row],[Deposit]],P144-CkReg16_181519[[#This Row],[Withdrawal]])</f>
        <v>13020.217999999993</v>
      </c>
      <c r="Q145" s="376"/>
    </row>
    <row r="146" spans="7:17" s="96" customFormat="1" ht="13.8" x14ac:dyDescent="0.3">
      <c r="G146" s="286"/>
      <c r="H146" s="370"/>
      <c r="I146" s="286"/>
      <c r="J146" s="285"/>
      <c r="K146" s="285"/>
      <c r="L146" s="371"/>
      <c r="M146" s="371"/>
      <c r="N146" s="371">
        <f>IF(ISBLANK(CkReg16_181519[[#This Row],[Withdrawal]]),N145+CkReg16_181519[[#This Row],[Deposit]],N145-CkReg16_181519[[#This Row],[Withdrawal]])</f>
        <v>4305.2180000000008</v>
      </c>
      <c r="O146" s="372"/>
      <c r="P146" s="371">
        <f>IF(ISBLANK(CkReg16_181519[[#This Row],[Withdrawal]]),P145+CkReg16_181519[[#This Row],[Deposit]],P145-CkReg16_181519[[#This Row],[Withdrawal]])</f>
        <v>13020.217999999993</v>
      </c>
      <c r="Q146" s="376"/>
    </row>
    <row r="147" spans="7:17" s="96" customFormat="1" ht="13.8" x14ac:dyDescent="0.3">
      <c r="G147" s="286"/>
      <c r="H147" s="370"/>
      <c r="I147" s="285"/>
      <c r="J147" s="285"/>
      <c r="K147" s="285"/>
      <c r="L147" s="371"/>
      <c r="M147" s="371"/>
      <c r="N147" s="371">
        <f>IF(ISBLANK(CkReg16_181519[[#This Row],[Withdrawal]]),N146+CkReg16_181519[[#This Row],[Deposit]],N146-CkReg16_181519[[#This Row],[Withdrawal]])</f>
        <v>4305.2180000000008</v>
      </c>
      <c r="O147" s="372"/>
      <c r="P147" s="371">
        <f>IF(ISBLANK(CkReg16_181519[[#This Row],[Withdrawal]]),P146+CkReg16_181519[[#This Row],[Deposit]],P146-CkReg16_181519[[#This Row],[Withdrawal]])</f>
        <v>13020.217999999993</v>
      </c>
      <c r="Q147" s="376"/>
    </row>
    <row r="148" spans="7:17" s="96" customFormat="1" ht="13.8" x14ac:dyDescent="0.3">
      <c r="G148" s="286"/>
      <c r="H148" s="370"/>
      <c r="I148" s="286"/>
      <c r="J148" s="285"/>
      <c r="K148" s="285"/>
      <c r="L148" s="371"/>
      <c r="M148" s="371"/>
      <c r="N148" s="371">
        <f>IF(ISBLANK(CkReg16_181519[[#This Row],[Withdrawal]]),N147+CkReg16_181519[[#This Row],[Deposit]],N147-CkReg16_181519[[#This Row],[Withdrawal]])</f>
        <v>4305.2180000000008</v>
      </c>
      <c r="O148" s="372"/>
      <c r="P148" s="371">
        <f>IF(ISBLANK(CkReg16_181519[[#This Row],[Withdrawal]]),P147+CkReg16_181519[[#This Row],[Deposit]],P147-CkReg16_181519[[#This Row],[Withdrawal]])</f>
        <v>13020.217999999993</v>
      </c>
      <c r="Q148" s="376"/>
    </row>
    <row r="149" spans="7:17" s="96" customFormat="1" ht="13.8" x14ac:dyDescent="0.3">
      <c r="G149" s="286"/>
      <c r="H149" s="370"/>
      <c r="I149" s="285"/>
      <c r="J149" s="285"/>
      <c r="K149" s="285"/>
      <c r="L149" s="371"/>
      <c r="M149" s="378"/>
      <c r="N149" s="371">
        <f>IF(ISBLANK(CkReg16_181519[[#This Row],[Withdrawal]]),N148+CkReg16_181519[[#This Row],[Deposit]],N148-CkReg16_181519[[#This Row],[Withdrawal]])</f>
        <v>4305.2180000000008</v>
      </c>
      <c r="O149" s="372"/>
      <c r="P149" s="371">
        <f>IF(ISBLANK(CkReg16_181519[[#This Row],[Withdrawal]]),P148+CkReg16_181519[[#This Row],[Deposit]],P148-CkReg16_181519[[#This Row],[Withdrawal]])</f>
        <v>13020.217999999993</v>
      </c>
      <c r="Q149" s="376"/>
    </row>
    <row r="150" spans="7:17" s="96" customFormat="1" ht="13.8" x14ac:dyDescent="0.3">
      <c r="G150" s="286"/>
      <c r="H150" s="370"/>
      <c r="I150" s="285"/>
      <c r="J150" s="285"/>
      <c r="K150" s="285"/>
      <c r="L150" s="371"/>
      <c r="M150" s="378"/>
      <c r="N150" s="371">
        <f>IF(ISBLANK(CkReg16_181519[[#This Row],[Withdrawal]]),N149+CkReg16_181519[[#This Row],[Deposit]],N149-CkReg16_181519[[#This Row],[Withdrawal]])</f>
        <v>4305.2180000000008</v>
      </c>
      <c r="O150" s="372"/>
      <c r="P150" s="371">
        <f>IF(ISBLANK(CkReg16_181519[[#This Row],[Withdrawal]]),P149+CkReg16_181519[[#This Row],[Deposit]],P149-CkReg16_181519[[#This Row],[Withdrawal]])</f>
        <v>13020.217999999993</v>
      </c>
      <c r="Q150" s="376"/>
    </row>
    <row r="151" spans="7:17" s="96" customFormat="1" ht="13.8" x14ac:dyDescent="0.3">
      <c r="G151" s="286"/>
      <c r="H151" s="370"/>
      <c r="I151" s="285"/>
      <c r="J151" s="285"/>
      <c r="K151" s="285"/>
      <c r="L151" s="371"/>
      <c r="M151" s="371"/>
      <c r="N151" s="371">
        <f>IF(ISBLANK(CkReg16_181519[[#This Row],[Withdrawal]]),N150+CkReg16_181519[[#This Row],[Deposit]],N150-CkReg16_181519[[#This Row],[Withdrawal]])</f>
        <v>4305.2180000000008</v>
      </c>
      <c r="O151" s="372"/>
      <c r="P151" s="371">
        <f>IF(ISBLANK(CkReg16_181519[[#This Row],[Withdrawal]]),P150+CkReg16_181519[[#This Row],[Deposit]],P150-CkReg16_181519[[#This Row],[Withdrawal]])</f>
        <v>13020.217999999993</v>
      </c>
      <c r="Q151" s="376"/>
    </row>
    <row r="152" spans="7:17" s="96" customFormat="1" ht="13.8" x14ac:dyDescent="0.3">
      <c r="G152" s="286"/>
      <c r="H152" s="370"/>
      <c r="I152" s="285"/>
      <c r="J152" s="285"/>
      <c r="K152" s="285"/>
      <c r="L152" s="371"/>
      <c r="M152" s="371"/>
      <c r="N152" s="371">
        <f>IF(ISBLANK(CkReg16_181519[[#This Row],[Withdrawal]]),N151+CkReg16_181519[[#This Row],[Deposit]],N151-CkReg16_181519[[#This Row],[Withdrawal]])</f>
        <v>4305.2180000000008</v>
      </c>
      <c r="O152" s="372"/>
      <c r="P152" s="371">
        <f>IF(ISBLANK(CkReg16_181519[[#This Row],[Withdrawal]]),P151+CkReg16_181519[[#This Row],[Deposit]],P151-CkReg16_181519[[#This Row],[Withdrawal]])</f>
        <v>13020.217999999993</v>
      </c>
      <c r="Q152" s="376"/>
    </row>
    <row r="153" spans="7:17" s="96" customFormat="1" x14ac:dyDescent="0.3">
      <c r="G153" s="286"/>
      <c r="H153" s="370"/>
      <c r="I153" s="285"/>
      <c r="J153" s="285"/>
      <c r="K153" s="285"/>
      <c r="L153" s="371"/>
      <c r="M153" s="387"/>
      <c r="N153" s="371">
        <f>IF(ISBLANK(CkReg16_181519[[#This Row],[Withdrawal]]),N152+CkReg16_181519[[#This Row],[Deposit]],N152-CkReg16_181519[[#This Row],[Withdrawal]])</f>
        <v>4305.2180000000008</v>
      </c>
      <c r="O153" s="372"/>
      <c r="P153" s="371">
        <f>IF(ISBLANK(CkReg16_181519[[#This Row],[Withdrawal]]),P152+CkReg16_181519[[#This Row],[Deposit]],P152-CkReg16_181519[[#This Row],[Withdrawal]])</f>
        <v>13020.217999999993</v>
      </c>
      <c r="Q153" s="376"/>
    </row>
    <row r="154" spans="7:17" s="96" customFormat="1" ht="13.8" x14ac:dyDescent="0.3">
      <c r="G154" s="286"/>
      <c r="H154" s="370"/>
      <c r="I154" s="285"/>
      <c r="J154" s="285"/>
      <c r="K154" s="285"/>
      <c r="L154" s="371"/>
      <c r="M154" s="371"/>
      <c r="N154" s="371">
        <f>IF(ISBLANK(CkReg16_181519[[#This Row],[Withdrawal]]),N153+CkReg16_181519[[#This Row],[Deposit]],N153-CkReg16_181519[[#This Row],[Withdrawal]])</f>
        <v>4305.2180000000008</v>
      </c>
      <c r="O154" s="372"/>
      <c r="P154" s="371">
        <f>IF(ISBLANK(CkReg16_181519[[#This Row],[Withdrawal]]),P153+CkReg16_181519[[#This Row],[Deposit]],P153-CkReg16_181519[[#This Row],[Withdrawal]])</f>
        <v>13020.217999999993</v>
      </c>
      <c r="Q154" s="376"/>
    </row>
    <row r="155" spans="7:17" s="96" customFormat="1" ht="13.8" x14ac:dyDescent="0.3">
      <c r="G155" s="286"/>
      <c r="H155" s="370"/>
      <c r="I155" s="285"/>
      <c r="J155" s="285"/>
      <c r="K155" s="285"/>
      <c r="L155" s="371"/>
      <c r="M155" s="371"/>
      <c r="N155" s="371">
        <f>IF(ISBLANK(CkReg16_181519[[#This Row],[Withdrawal]]),N154+CkReg16_181519[[#This Row],[Deposit]],N154-CkReg16_181519[[#This Row],[Withdrawal]])</f>
        <v>4305.2180000000008</v>
      </c>
      <c r="O155" s="372"/>
      <c r="P155" s="371">
        <f>IF(ISBLANK(CkReg16_181519[[#This Row],[Withdrawal]]),P154+CkReg16_181519[[#This Row],[Deposit]],P154-CkReg16_181519[[#This Row],[Withdrawal]])</f>
        <v>13020.217999999993</v>
      </c>
      <c r="Q155" s="376"/>
    </row>
    <row r="156" spans="7:17" s="96" customFormat="1" ht="13.8" x14ac:dyDescent="0.3">
      <c r="G156" s="286"/>
      <c r="H156" s="370"/>
      <c r="I156" s="285"/>
      <c r="J156" s="285"/>
      <c r="K156" s="285"/>
      <c r="L156" s="371"/>
      <c r="M156" s="371"/>
      <c r="N156" s="371">
        <f>IF(ISBLANK(CkReg16_181519[[#This Row],[Withdrawal]]),N155+CkReg16_181519[[#This Row],[Deposit]],N155-CkReg16_181519[[#This Row],[Withdrawal]])</f>
        <v>4305.2180000000008</v>
      </c>
      <c r="O156" s="372"/>
      <c r="P156" s="371">
        <f>IF(ISBLANK(CkReg16_181519[[#This Row],[Withdrawal]]),P155+CkReg16_181519[[#This Row],[Deposit]],P155-CkReg16_181519[[#This Row],[Withdrawal]])</f>
        <v>13020.217999999993</v>
      </c>
      <c r="Q156" s="376"/>
    </row>
    <row r="157" spans="7:17" s="96" customFormat="1" ht="13.8" x14ac:dyDescent="0.3">
      <c r="G157" s="286"/>
      <c r="H157" s="370"/>
      <c r="I157" s="285"/>
      <c r="J157" s="285"/>
      <c r="K157" s="285"/>
      <c r="L157" s="371"/>
      <c r="M157" s="371"/>
      <c r="N157" s="371">
        <f>IF(ISBLANK(CkReg16_181519[[#This Row],[Withdrawal]]),N156+CkReg16_181519[[#This Row],[Deposit]],N156-CkReg16_181519[[#This Row],[Withdrawal]])</f>
        <v>4305.2180000000008</v>
      </c>
      <c r="O157" s="372"/>
      <c r="P157" s="371">
        <f>IF(ISBLANK(CkReg16_181519[[#This Row],[Withdrawal]]),P156+CkReg16_181519[[#This Row],[Deposit]],P156-CkReg16_181519[[#This Row],[Withdrawal]])</f>
        <v>13020.217999999993</v>
      </c>
      <c r="Q157" s="376"/>
    </row>
    <row r="158" spans="7:17" s="96" customFormat="1" ht="13.8" x14ac:dyDescent="0.3">
      <c r="G158" s="286"/>
      <c r="H158" s="370"/>
      <c r="I158" s="285"/>
      <c r="J158" s="285"/>
      <c r="K158" s="285"/>
      <c r="L158" s="371"/>
      <c r="M158" s="371"/>
      <c r="N158" s="371">
        <f>IF(ISBLANK(CkReg16_181519[[#This Row],[Withdrawal]]),N157+CkReg16_181519[[#This Row],[Deposit]],N157-CkReg16_181519[[#This Row],[Withdrawal]])</f>
        <v>4305.2180000000008</v>
      </c>
      <c r="O158" s="372"/>
      <c r="P158" s="371">
        <f>IF(ISBLANK(CkReg16_181519[[#This Row],[Withdrawal]]),P157+CkReg16_181519[[#This Row],[Deposit]],P157-CkReg16_181519[[#This Row],[Withdrawal]])</f>
        <v>13020.217999999993</v>
      </c>
      <c r="Q158" s="376"/>
    </row>
    <row r="159" spans="7:17" s="96" customFormat="1" ht="13.8" x14ac:dyDescent="0.3">
      <c r="G159" s="286"/>
      <c r="H159" s="370"/>
      <c r="I159" s="285"/>
      <c r="J159" s="285"/>
      <c r="K159" s="285"/>
      <c r="L159" s="371"/>
      <c r="M159" s="378"/>
      <c r="N159" s="371">
        <f>IF(ISBLANK(CkReg16_181519[[#This Row],[Withdrawal]]),N158+CkReg16_181519[[#This Row],[Deposit]],N158-CkReg16_181519[[#This Row],[Withdrawal]])</f>
        <v>4305.2180000000008</v>
      </c>
      <c r="O159" s="372"/>
      <c r="P159" s="371">
        <f>IF(ISBLANK(CkReg16_181519[[#This Row],[Withdrawal]]),P158+CkReg16_181519[[#This Row],[Deposit]],P158-CkReg16_181519[[#This Row],[Withdrawal]])</f>
        <v>13020.217999999993</v>
      </c>
      <c r="Q159" s="376"/>
    </row>
    <row r="160" spans="7:17" s="96" customFormat="1" ht="13.8" x14ac:dyDescent="0.3">
      <c r="G160" s="286"/>
      <c r="H160" s="370"/>
      <c r="I160" s="285"/>
      <c r="J160" s="285"/>
      <c r="K160" s="285"/>
      <c r="L160" s="371"/>
      <c r="M160" s="378"/>
      <c r="N160" s="371">
        <f>IF(ISBLANK(CkReg16_181519[[#This Row],[Withdrawal]]),N159+CkReg16_181519[[#This Row],[Deposit]],N159-CkReg16_181519[[#This Row],[Withdrawal]])</f>
        <v>4305.2180000000008</v>
      </c>
      <c r="O160" s="372"/>
      <c r="P160" s="371">
        <f>IF(ISBLANK(CkReg16_181519[[#This Row],[Withdrawal]]),P159+CkReg16_181519[[#This Row],[Deposit]],P159-CkReg16_181519[[#This Row],[Withdrawal]])</f>
        <v>13020.217999999993</v>
      </c>
      <c r="Q160" s="376"/>
    </row>
    <row r="161" spans="7:17" s="96" customFormat="1" ht="13.8" x14ac:dyDescent="0.3">
      <c r="G161" s="286"/>
      <c r="H161" s="370"/>
      <c r="I161" s="285"/>
      <c r="J161" s="285"/>
      <c r="K161" s="285"/>
      <c r="L161" s="371"/>
      <c r="M161" s="378"/>
      <c r="N161" s="371">
        <f>IF(ISBLANK(CkReg16_181519[[#This Row],[Withdrawal]]),N160+CkReg16_181519[[#This Row],[Deposit]],N160-CkReg16_181519[[#This Row],[Withdrawal]])</f>
        <v>4305.2180000000008</v>
      </c>
      <c r="O161" s="372"/>
      <c r="P161" s="371">
        <f>IF(ISBLANK(CkReg16_181519[[#This Row],[Withdrawal]]),P160+CkReg16_181519[[#This Row],[Deposit]],P160-CkReg16_181519[[#This Row],[Withdrawal]])</f>
        <v>13020.217999999993</v>
      </c>
      <c r="Q161" s="376"/>
    </row>
    <row r="162" spans="7:17" s="96" customFormat="1" ht="13.8" x14ac:dyDescent="0.3">
      <c r="G162" s="286"/>
      <c r="H162" s="370"/>
      <c r="I162" s="285"/>
      <c r="J162" s="285"/>
      <c r="K162" s="285"/>
      <c r="L162" s="371"/>
      <c r="M162" s="378"/>
      <c r="N162" s="371">
        <f>IF(ISBLANK(CkReg16_181519[[#This Row],[Withdrawal]]),N161+CkReg16_181519[[#This Row],[Deposit]],N161-CkReg16_181519[[#This Row],[Withdrawal]])</f>
        <v>4305.2180000000008</v>
      </c>
      <c r="O162" s="372"/>
      <c r="P162" s="371">
        <f>IF(ISBLANK(CkReg16_181519[[#This Row],[Withdrawal]]),P161+CkReg16_181519[[#This Row],[Deposit]],P161-CkReg16_181519[[#This Row],[Withdrawal]])</f>
        <v>13020.217999999993</v>
      </c>
      <c r="Q162" s="376"/>
    </row>
    <row r="163" spans="7:17" s="96" customFormat="1" ht="13.8" x14ac:dyDescent="0.3">
      <c r="G163" s="286"/>
      <c r="H163" s="370"/>
      <c r="I163" s="285"/>
      <c r="J163" s="285"/>
      <c r="K163" s="285"/>
      <c r="L163" s="371"/>
      <c r="M163" s="378"/>
      <c r="N163" s="371">
        <f>IF(ISBLANK(CkReg16_181519[[#This Row],[Withdrawal]]),N162+CkReg16_181519[[#This Row],[Deposit]],N162-CkReg16_181519[[#This Row],[Withdrawal]])</f>
        <v>4305.2180000000008</v>
      </c>
      <c r="O163" s="372"/>
      <c r="P163" s="371">
        <f>IF(ISBLANK(CkReg16_181519[[#This Row],[Withdrawal]]),P162+CkReg16_181519[[#This Row],[Deposit]],P162-CkReg16_181519[[#This Row],[Withdrawal]])</f>
        <v>13020.217999999993</v>
      </c>
      <c r="Q163" s="376"/>
    </row>
    <row r="164" spans="7:17" s="96" customFormat="1" ht="13.8" x14ac:dyDescent="0.3">
      <c r="G164" s="286"/>
      <c r="H164" s="370"/>
      <c r="I164" s="285"/>
      <c r="J164" s="285"/>
      <c r="K164" s="285"/>
      <c r="L164" s="371"/>
      <c r="M164" s="378"/>
      <c r="N164" s="371">
        <f>IF(ISBLANK(CkReg16_181519[[#This Row],[Withdrawal]]),N163+CkReg16_181519[[#This Row],[Deposit]],N163-CkReg16_181519[[#This Row],[Withdrawal]])</f>
        <v>4305.2180000000008</v>
      </c>
      <c r="O164" s="372"/>
      <c r="P164" s="371">
        <f>IF(ISBLANK(CkReg16_181519[[#This Row],[Withdrawal]]),P163+CkReg16_181519[[#This Row],[Deposit]],P163-CkReg16_181519[[#This Row],[Withdrawal]])</f>
        <v>13020.217999999993</v>
      </c>
      <c r="Q164" s="376"/>
    </row>
    <row r="165" spans="7:17" s="96" customFormat="1" ht="13.8" x14ac:dyDescent="0.3">
      <c r="G165" s="286"/>
      <c r="H165" s="370"/>
      <c r="I165" s="285"/>
      <c r="J165" s="285"/>
      <c r="K165" s="285"/>
      <c r="L165" s="371"/>
      <c r="M165" s="378"/>
      <c r="N165" s="371">
        <f>IF(ISBLANK(CkReg16_181519[[#This Row],[Withdrawal]]),N164+CkReg16_181519[[#This Row],[Deposit]],N164-CkReg16_181519[[#This Row],[Withdrawal]])</f>
        <v>4305.2180000000008</v>
      </c>
      <c r="O165" s="372"/>
      <c r="P165" s="371">
        <f>IF(ISBLANK(CkReg16_181519[[#This Row],[Withdrawal]]),P164+CkReg16_181519[[#This Row],[Deposit]],P164-CkReg16_181519[[#This Row],[Withdrawal]])</f>
        <v>13020.217999999993</v>
      </c>
      <c r="Q165" s="376"/>
    </row>
    <row r="166" spans="7:17" s="96" customFormat="1" ht="13.8" x14ac:dyDescent="0.3">
      <c r="G166" s="286"/>
      <c r="H166" s="370"/>
      <c r="I166" s="285"/>
      <c r="J166" s="285"/>
      <c r="K166" s="285"/>
      <c r="L166" s="371"/>
      <c r="M166" s="378"/>
      <c r="N166" s="371">
        <f>IF(ISBLANK(CkReg16_181519[[#This Row],[Withdrawal]]),N165+CkReg16_181519[[#This Row],[Deposit]],N165-CkReg16_181519[[#This Row],[Withdrawal]])</f>
        <v>4305.2180000000008</v>
      </c>
      <c r="O166" s="372"/>
      <c r="P166" s="371">
        <f>IF(ISBLANK(CkReg16_181519[[#This Row],[Withdrawal]]),P165+CkReg16_181519[[#This Row],[Deposit]],P165-CkReg16_181519[[#This Row],[Withdrawal]])</f>
        <v>13020.217999999993</v>
      </c>
      <c r="Q166" s="376"/>
    </row>
    <row r="167" spans="7:17" s="96" customFormat="1" ht="13.8" x14ac:dyDescent="0.3">
      <c r="G167" s="286"/>
      <c r="H167" s="370"/>
      <c r="I167" s="285"/>
      <c r="J167" s="285"/>
      <c r="K167" s="285"/>
      <c r="L167" s="371"/>
      <c r="M167" s="378"/>
      <c r="N167" s="371">
        <f>IF(ISBLANK(CkReg16_181519[[#This Row],[Withdrawal]]),N166+CkReg16_181519[[#This Row],[Deposit]],N166-CkReg16_181519[[#This Row],[Withdrawal]])</f>
        <v>4305.2180000000008</v>
      </c>
      <c r="O167" s="372"/>
      <c r="P167" s="371">
        <f>IF(ISBLANK(CkReg16_181519[[#This Row],[Withdrawal]]),P166+CkReg16_181519[[#This Row],[Deposit]],P166-CkReg16_181519[[#This Row],[Withdrawal]])</f>
        <v>13020.217999999993</v>
      </c>
      <c r="Q167" s="376"/>
    </row>
    <row r="168" spans="7:17" s="96" customFormat="1" ht="13.8" x14ac:dyDescent="0.3">
      <c r="G168" s="286"/>
      <c r="H168" s="370"/>
      <c r="I168" s="285"/>
      <c r="J168" s="285"/>
      <c r="K168" s="285"/>
      <c r="L168" s="371"/>
      <c r="M168" s="378"/>
      <c r="N168" s="371">
        <f>IF(ISBLANK(CkReg16_181519[[#This Row],[Withdrawal]]),N167+CkReg16_181519[[#This Row],[Deposit]],N167-CkReg16_181519[[#This Row],[Withdrawal]])</f>
        <v>4305.2180000000008</v>
      </c>
      <c r="O168" s="372"/>
      <c r="P168" s="371">
        <f>IF(ISBLANK(CkReg16_181519[[#This Row],[Withdrawal]]),P167+CkReg16_181519[[#This Row],[Deposit]],P167-CkReg16_181519[[#This Row],[Withdrawal]])</f>
        <v>13020.217999999993</v>
      </c>
      <c r="Q168" s="376"/>
    </row>
    <row r="169" spans="7:17" s="96" customFormat="1" ht="13.8" x14ac:dyDescent="0.3">
      <c r="G169" s="286"/>
      <c r="H169" s="370"/>
      <c r="I169" s="285"/>
      <c r="J169" s="285"/>
      <c r="K169" s="285"/>
      <c r="L169" s="371"/>
      <c r="M169" s="371"/>
      <c r="N169" s="371">
        <f>IF(ISBLANK(CkReg16_181519[[#This Row],[Withdrawal]]),N168+CkReg16_181519[[#This Row],[Deposit]],N168-CkReg16_181519[[#This Row],[Withdrawal]])</f>
        <v>4305.2180000000008</v>
      </c>
      <c r="O169" s="372"/>
      <c r="P169" s="371">
        <f>IF(ISBLANK(CkReg16_181519[[#This Row],[Withdrawal]]),P168+CkReg16_181519[[#This Row],[Deposit]],P168-CkReg16_181519[[#This Row],[Withdrawal]])</f>
        <v>13020.217999999993</v>
      </c>
      <c r="Q169" s="376"/>
    </row>
    <row r="170" spans="7:17" s="96" customFormat="1" ht="13.8" x14ac:dyDescent="0.3">
      <c r="G170" s="286"/>
      <c r="H170" s="370"/>
      <c r="I170" s="285"/>
      <c r="J170" s="285"/>
      <c r="K170" s="285"/>
      <c r="L170" s="371"/>
      <c r="M170" s="371"/>
      <c r="N170" s="371">
        <f>IF(ISBLANK(CkReg16_181519[[#This Row],[Withdrawal]]),N169+CkReg16_181519[[#This Row],[Deposit]],N169-CkReg16_181519[[#This Row],[Withdrawal]])</f>
        <v>4305.2180000000008</v>
      </c>
      <c r="O170" s="372"/>
      <c r="P170" s="371">
        <f>IF(ISBLANK(CkReg16_181519[[#This Row],[Withdrawal]]),P169+CkReg16_181519[[#This Row],[Deposit]],P169-CkReg16_181519[[#This Row],[Withdrawal]])</f>
        <v>13020.217999999993</v>
      </c>
      <c r="Q170" s="376"/>
    </row>
    <row r="171" spans="7:17" s="96" customFormat="1" ht="13.8" x14ac:dyDescent="0.3">
      <c r="G171" s="286"/>
      <c r="H171" s="370"/>
      <c r="I171" s="285"/>
      <c r="J171" s="285"/>
      <c r="K171" s="285"/>
      <c r="L171" s="371"/>
      <c r="M171" s="378"/>
      <c r="N171" s="371">
        <f>IF(ISBLANK(CkReg16_181519[[#This Row],[Withdrawal]]),N170+CkReg16_181519[[#This Row],[Deposit]],N170-CkReg16_181519[[#This Row],[Withdrawal]])</f>
        <v>4305.2180000000008</v>
      </c>
      <c r="O171" s="372"/>
      <c r="P171" s="371">
        <f>IF(ISBLANK(CkReg16_181519[[#This Row],[Withdrawal]]),P170+CkReg16_181519[[#This Row],[Deposit]],P170-CkReg16_181519[[#This Row],[Withdrawal]])</f>
        <v>13020.217999999993</v>
      </c>
      <c r="Q171" s="376"/>
    </row>
    <row r="172" spans="7:17" s="96" customFormat="1" ht="13.8" x14ac:dyDescent="0.3">
      <c r="G172" s="286"/>
      <c r="H172" s="370"/>
      <c r="I172" s="285"/>
      <c r="J172" s="285"/>
      <c r="K172" s="285"/>
      <c r="L172" s="371"/>
      <c r="M172" s="371"/>
      <c r="N172" s="371">
        <f>IF(ISBLANK(CkReg16_181519[[#This Row],[Withdrawal]]),N171+CkReg16_181519[[#This Row],[Deposit]],N171-CkReg16_181519[[#This Row],[Withdrawal]])</f>
        <v>4305.2180000000008</v>
      </c>
      <c r="O172" s="372"/>
      <c r="P172" s="371">
        <f>IF(ISBLANK(CkReg16_181519[[#This Row],[Withdrawal]]),P171+CkReg16_181519[[#This Row],[Deposit]],P171-CkReg16_181519[[#This Row],[Withdrawal]])</f>
        <v>13020.217999999993</v>
      </c>
      <c r="Q172" s="376"/>
    </row>
    <row r="173" spans="7:17" s="96" customFormat="1" ht="13.8" x14ac:dyDescent="0.3">
      <c r="G173" s="286"/>
      <c r="H173" s="370"/>
      <c r="I173" s="285"/>
      <c r="J173" s="285"/>
      <c r="K173" s="285"/>
      <c r="L173" s="371"/>
      <c r="M173" s="378"/>
      <c r="N173" s="371">
        <f>IF(ISBLANK(CkReg16_181519[[#This Row],[Withdrawal]]),N172+CkReg16_181519[[#This Row],[Deposit]],N172-CkReg16_181519[[#This Row],[Withdrawal]])</f>
        <v>4305.2180000000008</v>
      </c>
      <c r="O173" s="372"/>
      <c r="P173" s="371">
        <f>IF(ISBLANK(CkReg16_181519[[#This Row],[Withdrawal]]),P172+CkReg16_181519[[#This Row],[Deposit]],P172-CkReg16_181519[[#This Row],[Withdrawal]])</f>
        <v>13020.217999999993</v>
      </c>
      <c r="Q173" s="376"/>
    </row>
    <row r="174" spans="7:17" s="96" customFormat="1" ht="13.8" x14ac:dyDescent="0.3">
      <c r="G174" s="286"/>
      <c r="H174" s="370"/>
      <c r="I174" s="285"/>
      <c r="J174" s="285"/>
      <c r="K174" s="285"/>
      <c r="L174" s="371"/>
      <c r="M174" s="378"/>
      <c r="N174" s="371">
        <f>IF(ISBLANK(CkReg16_181519[[#This Row],[Withdrawal]]),N173+CkReg16_181519[[#This Row],[Deposit]],N173-CkReg16_181519[[#This Row],[Withdrawal]])</f>
        <v>4305.2180000000008</v>
      </c>
      <c r="O174" s="372"/>
      <c r="P174" s="371">
        <f>IF(ISBLANK(CkReg16_181519[[#This Row],[Withdrawal]]),P173+CkReg16_181519[[#This Row],[Deposit]],P173-CkReg16_181519[[#This Row],[Withdrawal]])</f>
        <v>13020.217999999993</v>
      </c>
      <c r="Q174" s="376"/>
    </row>
    <row r="175" spans="7:17" s="96" customFormat="1" ht="13.8" x14ac:dyDescent="0.3">
      <c r="G175" s="286"/>
      <c r="H175" s="370"/>
      <c r="I175" s="285"/>
      <c r="J175" s="285"/>
      <c r="K175" s="285"/>
      <c r="L175" s="371"/>
      <c r="M175" s="378"/>
      <c r="N175" s="371">
        <f>IF(ISBLANK(CkReg16_181519[[#This Row],[Withdrawal]]),N174+CkReg16_181519[[#This Row],[Deposit]],N174-CkReg16_181519[[#This Row],[Withdrawal]])</f>
        <v>4305.2180000000008</v>
      </c>
      <c r="O175" s="372"/>
      <c r="P175" s="371">
        <f>IF(ISBLANK(CkReg16_181519[[#This Row],[Withdrawal]]),P174+CkReg16_181519[[#This Row],[Deposit]],P174-CkReg16_181519[[#This Row],[Withdrawal]])</f>
        <v>13020.217999999993</v>
      </c>
      <c r="Q175" s="376"/>
    </row>
    <row r="176" spans="7:17" s="96" customFormat="1" ht="13.8" x14ac:dyDescent="0.3">
      <c r="G176" s="286"/>
      <c r="H176" s="370"/>
      <c r="I176" s="285"/>
      <c r="J176" s="285"/>
      <c r="K176" s="285"/>
      <c r="L176" s="371"/>
      <c r="M176" s="371"/>
      <c r="N176" s="371">
        <f>IF(ISBLANK(CkReg16_181519[[#This Row],[Withdrawal]]),N175+CkReg16_181519[[#This Row],[Deposit]],N175-CkReg16_181519[[#This Row],[Withdrawal]])</f>
        <v>4305.2180000000008</v>
      </c>
      <c r="O176" s="372"/>
      <c r="P176" s="371">
        <f>IF(ISBLANK(CkReg16_181519[[#This Row],[Withdrawal]]),P175+CkReg16_181519[[#This Row],[Deposit]],P175-CkReg16_181519[[#This Row],[Withdrawal]])</f>
        <v>13020.217999999993</v>
      </c>
      <c r="Q176" s="376"/>
    </row>
    <row r="177" spans="7:17" s="96" customFormat="1" ht="13.8" x14ac:dyDescent="0.3">
      <c r="G177" s="286"/>
      <c r="H177" s="370"/>
      <c r="I177" s="285"/>
      <c r="J177" s="285"/>
      <c r="K177" s="285"/>
      <c r="L177" s="371"/>
      <c r="M177" s="371"/>
      <c r="N177" s="371">
        <f>IF(ISBLANK(CkReg16_181519[[#This Row],[Withdrawal]]),N176+CkReg16_181519[[#This Row],[Deposit]],N176-CkReg16_181519[[#This Row],[Withdrawal]])</f>
        <v>4305.2180000000008</v>
      </c>
      <c r="O177" s="372"/>
      <c r="P177" s="371">
        <f>IF(ISBLANK(CkReg16_181519[[#This Row],[Withdrawal]]),P176+CkReg16_181519[[#This Row],[Deposit]],P176-CkReg16_181519[[#This Row],[Withdrawal]])</f>
        <v>13020.217999999993</v>
      </c>
      <c r="Q177" s="376"/>
    </row>
    <row r="178" spans="7:17" s="96" customFormat="1" ht="13.8" x14ac:dyDescent="0.3">
      <c r="G178" s="286"/>
      <c r="H178" s="370"/>
      <c r="I178" s="285"/>
      <c r="J178" s="285"/>
      <c r="K178" s="285"/>
      <c r="L178" s="371"/>
      <c r="M178" s="378"/>
      <c r="N178" s="371">
        <f>IF(ISBLANK(CkReg16_181519[[#This Row],[Withdrawal]]),N177+CkReg16_181519[[#This Row],[Deposit]],N177-CkReg16_181519[[#This Row],[Withdrawal]])</f>
        <v>4305.2180000000008</v>
      </c>
      <c r="O178" s="372"/>
      <c r="P178" s="371">
        <f>IF(ISBLANK(CkReg16_181519[[#This Row],[Withdrawal]]),P177+CkReg16_181519[[#This Row],[Deposit]],P177-CkReg16_181519[[#This Row],[Withdrawal]])</f>
        <v>13020.217999999993</v>
      </c>
      <c r="Q178" s="376"/>
    </row>
    <row r="179" spans="7:17" s="96" customFormat="1" ht="13.8" x14ac:dyDescent="0.3">
      <c r="G179" s="286"/>
      <c r="H179" s="370"/>
      <c r="I179" s="285"/>
      <c r="J179" s="285"/>
      <c r="K179" s="285"/>
      <c r="L179" s="371"/>
      <c r="M179" s="378"/>
      <c r="N179" s="371">
        <f>IF(ISBLANK(CkReg16_181519[[#This Row],[Withdrawal]]),N178+CkReg16_181519[[#This Row],[Deposit]],N178-CkReg16_181519[[#This Row],[Withdrawal]])</f>
        <v>4305.2180000000008</v>
      </c>
      <c r="O179" s="372"/>
      <c r="P179" s="371">
        <f>IF(ISBLANK(CkReg16_181519[[#This Row],[Withdrawal]]),P178+CkReg16_181519[[#This Row],[Deposit]],P178-CkReg16_181519[[#This Row],[Withdrawal]])</f>
        <v>13020.217999999993</v>
      </c>
      <c r="Q179" s="376"/>
    </row>
    <row r="180" spans="7:17" s="96" customFormat="1" ht="13.8" x14ac:dyDescent="0.3">
      <c r="G180" s="286"/>
      <c r="H180" s="370"/>
      <c r="I180" s="285"/>
      <c r="J180" s="285"/>
      <c r="K180" s="285"/>
      <c r="L180" s="371"/>
      <c r="M180" s="378"/>
      <c r="N180" s="371">
        <f>IF(ISBLANK(CkReg16_181519[[#This Row],[Withdrawal]]),N179+CkReg16_181519[[#This Row],[Deposit]],N179-CkReg16_181519[[#This Row],[Withdrawal]])</f>
        <v>4305.2180000000008</v>
      </c>
      <c r="O180" s="372"/>
      <c r="P180" s="371">
        <f>IF(ISBLANK(CkReg16_181519[[#This Row],[Withdrawal]]),P179+CkReg16_181519[[#This Row],[Deposit]],P179-CkReg16_181519[[#This Row],[Withdrawal]])</f>
        <v>13020.217999999993</v>
      </c>
      <c r="Q180" s="376"/>
    </row>
    <row r="181" spans="7:17" s="96" customFormat="1" ht="13.8" x14ac:dyDescent="0.3">
      <c r="G181" s="286"/>
      <c r="H181" s="370"/>
      <c r="I181" s="285"/>
      <c r="J181" s="285"/>
      <c r="K181" s="285"/>
      <c r="L181" s="371"/>
      <c r="M181" s="378"/>
      <c r="N181" s="371">
        <f>IF(ISBLANK(CkReg16_181519[[#This Row],[Withdrawal]]),N180+CkReg16_181519[[#This Row],[Deposit]],N180-CkReg16_181519[[#This Row],[Withdrawal]])</f>
        <v>4305.2180000000008</v>
      </c>
      <c r="O181" s="372"/>
      <c r="P181" s="371">
        <f>IF(ISBLANK(CkReg16_181519[[#This Row],[Withdrawal]]),P180+CkReg16_181519[[#This Row],[Deposit]],P180-CkReg16_181519[[#This Row],[Withdrawal]])</f>
        <v>13020.217999999993</v>
      </c>
      <c r="Q181" s="376"/>
    </row>
    <row r="182" spans="7:17" s="96" customFormat="1" ht="13.8" x14ac:dyDescent="0.3">
      <c r="G182" s="286"/>
      <c r="H182" s="370"/>
      <c r="I182" s="285"/>
      <c r="J182" s="285"/>
      <c r="K182" s="285"/>
      <c r="L182" s="371"/>
      <c r="M182" s="378"/>
      <c r="N182" s="371">
        <f>IF(ISBLANK(CkReg16_181519[[#This Row],[Withdrawal]]),N181+CkReg16_181519[[#This Row],[Deposit]],N181-CkReg16_181519[[#This Row],[Withdrawal]])</f>
        <v>4305.2180000000008</v>
      </c>
      <c r="O182" s="372"/>
      <c r="P182" s="371">
        <f>IF(ISBLANK(CkReg16_181519[[#This Row],[Withdrawal]]),P181+CkReg16_181519[[#This Row],[Deposit]],P181-CkReg16_181519[[#This Row],[Withdrawal]])</f>
        <v>13020.217999999993</v>
      </c>
      <c r="Q182" s="376"/>
    </row>
    <row r="183" spans="7:17" s="96" customFormat="1" ht="13.8" x14ac:dyDescent="0.3">
      <c r="G183" s="286"/>
      <c r="H183" s="370"/>
      <c r="I183" s="285"/>
      <c r="J183" s="285"/>
      <c r="K183" s="285"/>
      <c r="L183" s="371"/>
      <c r="M183" s="378"/>
      <c r="N183" s="371">
        <f>IF(ISBLANK(CkReg16_181519[[#This Row],[Withdrawal]]),N182+CkReg16_181519[[#This Row],[Deposit]],N182-CkReg16_181519[[#This Row],[Withdrawal]])</f>
        <v>4305.2180000000008</v>
      </c>
      <c r="O183" s="372"/>
      <c r="P183" s="371">
        <f>IF(ISBLANK(CkReg16_181519[[#This Row],[Withdrawal]]),P182+CkReg16_181519[[#This Row],[Deposit]],P182-CkReg16_181519[[#This Row],[Withdrawal]])</f>
        <v>13020.217999999993</v>
      </c>
      <c r="Q183" s="376"/>
    </row>
    <row r="184" spans="7:17" s="96" customFormat="1" ht="13.8" x14ac:dyDescent="0.3">
      <c r="G184" s="286"/>
      <c r="H184" s="370"/>
      <c r="I184" s="285"/>
      <c r="J184" s="285"/>
      <c r="K184" s="285"/>
      <c r="L184" s="371"/>
      <c r="M184" s="378"/>
      <c r="N184" s="371">
        <f>IF(ISBLANK(CkReg16_181519[[#This Row],[Withdrawal]]),N183+CkReg16_181519[[#This Row],[Deposit]],N183-CkReg16_181519[[#This Row],[Withdrawal]])</f>
        <v>4305.2180000000008</v>
      </c>
      <c r="O184" s="372"/>
      <c r="P184" s="371">
        <f>IF(ISBLANK(CkReg16_181519[[#This Row],[Withdrawal]]),P183+CkReg16_181519[[#This Row],[Deposit]],P183-CkReg16_181519[[#This Row],[Withdrawal]])</f>
        <v>13020.217999999993</v>
      </c>
      <c r="Q184" s="376"/>
    </row>
    <row r="185" spans="7:17" s="96" customFormat="1" ht="13.8" x14ac:dyDescent="0.3">
      <c r="G185" s="286"/>
      <c r="H185" s="370"/>
      <c r="I185" s="285"/>
      <c r="J185" s="285"/>
      <c r="K185" s="285"/>
      <c r="L185" s="371"/>
      <c r="M185" s="378"/>
      <c r="N185" s="371">
        <f>IF(ISBLANK(CkReg16_181519[[#This Row],[Withdrawal]]),N184+CkReg16_181519[[#This Row],[Deposit]],N184-CkReg16_181519[[#This Row],[Withdrawal]])</f>
        <v>4305.2180000000008</v>
      </c>
      <c r="O185" s="372"/>
      <c r="P185" s="371">
        <f>IF(ISBLANK(CkReg16_181519[[#This Row],[Withdrawal]]),P184+CkReg16_181519[[#This Row],[Deposit]],P184-CkReg16_181519[[#This Row],[Withdrawal]])</f>
        <v>13020.217999999993</v>
      </c>
      <c r="Q185" s="376"/>
    </row>
    <row r="186" spans="7:17" s="96" customFormat="1" ht="13.8" x14ac:dyDescent="0.3">
      <c r="G186" s="286"/>
      <c r="H186" s="370"/>
      <c r="I186" s="285"/>
      <c r="J186" s="285"/>
      <c r="K186" s="285"/>
      <c r="L186" s="371"/>
      <c r="M186" s="378"/>
      <c r="N186" s="371">
        <f>IF(ISBLANK(CkReg16_181519[[#This Row],[Withdrawal]]),N185+CkReg16_181519[[#This Row],[Deposit]],N185-CkReg16_181519[[#This Row],[Withdrawal]])</f>
        <v>4305.2180000000008</v>
      </c>
      <c r="O186" s="372"/>
      <c r="P186" s="371">
        <f>IF(ISBLANK(CkReg16_181519[[#This Row],[Withdrawal]]),P185+CkReg16_181519[[#This Row],[Deposit]],P185-CkReg16_181519[[#This Row],[Withdrawal]])</f>
        <v>13020.217999999993</v>
      </c>
      <c r="Q186" s="376"/>
    </row>
    <row r="187" spans="7:17" s="96" customFormat="1" ht="13.8" x14ac:dyDescent="0.3">
      <c r="G187" s="286"/>
      <c r="H187" s="370"/>
      <c r="I187" s="285"/>
      <c r="J187" s="285"/>
      <c r="K187" s="285"/>
      <c r="L187" s="371"/>
      <c r="M187" s="378"/>
      <c r="N187" s="371">
        <f>IF(ISBLANK(CkReg16_181519[[#This Row],[Withdrawal]]),N186+CkReg16_181519[[#This Row],[Deposit]],N186-CkReg16_181519[[#This Row],[Withdrawal]])</f>
        <v>4305.2180000000008</v>
      </c>
      <c r="O187" s="372"/>
      <c r="P187" s="371">
        <f>IF(ISBLANK(CkReg16_181519[[#This Row],[Withdrawal]]),P186+CkReg16_181519[[#This Row],[Deposit]],P186-CkReg16_181519[[#This Row],[Withdrawal]])</f>
        <v>13020.217999999993</v>
      </c>
      <c r="Q187" s="376"/>
    </row>
    <row r="188" spans="7:17" s="96" customFormat="1" ht="13.8" x14ac:dyDescent="0.3">
      <c r="G188" s="286"/>
      <c r="H188" s="370"/>
      <c r="I188" s="285"/>
      <c r="J188" s="285"/>
      <c r="K188" s="285"/>
      <c r="L188" s="371"/>
      <c r="M188" s="378"/>
      <c r="N188" s="371">
        <f>IF(ISBLANK(CkReg16_181519[[#This Row],[Withdrawal]]),N187+CkReg16_181519[[#This Row],[Deposit]],N187-CkReg16_181519[[#This Row],[Withdrawal]])</f>
        <v>4305.2180000000008</v>
      </c>
      <c r="O188" s="372"/>
      <c r="P188" s="371">
        <f>IF(ISBLANK(CkReg16_181519[[#This Row],[Withdrawal]]),P187+CkReg16_181519[[#This Row],[Deposit]],P187-CkReg16_181519[[#This Row],[Withdrawal]])</f>
        <v>13020.217999999993</v>
      </c>
      <c r="Q188" s="376"/>
    </row>
    <row r="189" spans="7:17" s="96" customFormat="1" ht="13.8" x14ac:dyDescent="0.3">
      <c r="G189" s="286"/>
      <c r="H189" s="370"/>
      <c r="I189" s="285"/>
      <c r="J189" s="285"/>
      <c r="K189" s="285"/>
      <c r="L189" s="371"/>
      <c r="M189" s="378"/>
      <c r="N189" s="371">
        <f>IF(ISBLANK(CkReg16_181519[[#This Row],[Withdrawal]]),N188+CkReg16_181519[[#This Row],[Deposit]],N188-CkReg16_181519[[#This Row],[Withdrawal]])</f>
        <v>4305.2180000000008</v>
      </c>
      <c r="O189" s="372"/>
      <c r="P189" s="371">
        <f>IF(ISBLANK(CkReg16_181519[[#This Row],[Withdrawal]]),P188+CkReg16_181519[[#This Row],[Deposit]],P188-CkReg16_181519[[#This Row],[Withdrawal]])</f>
        <v>13020.217999999993</v>
      </c>
      <c r="Q189" s="376"/>
    </row>
    <row r="190" spans="7:17" s="96" customFormat="1" ht="13.8" x14ac:dyDescent="0.3">
      <c r="G190" s="286"/>
      <c r="H190" s="370"/>
      <c r="I190" s="285"/>
      <c r="J190" s="285"/>
      <c r="K190" s="285"/>
      <c r="L190" s="371"/>
      <c r="M190" s="378"/>
      <c r="N190" s="371">
        <f>IF(ISBLANK(CkReg16_181519[[#This Row],[Withdrawal]]),N189+CkReg16_181519[[#This Row],[Deposit]],N189-CkReg16_181519[[#This Row],[Withdrawal]])</f>
        <v>4305.2180000000008</v>
      </c>
      <c r="O190" s="372"/>
      <c r="P190" s="371">
        <f>IF(ISBLANK(CkReg16_181519[[#This Row],[Withdrawal]]),P189+CkReg16_181519[[#This Row],[Deposit]],P189-CkReg16_181519[[#This Row],[Withdrawal]])</f>
        <v>13020.217999999993</v>
      </c>
      <c r="Q190" s="376"/>
    </row>
    <row r="191" spans="7:17" s="96" customFormat="1" ht="13.8" x14ac:dyDescent="0.3">
      <c r="G191" s="286"/>
      <c r="H191" s="370"/>
      <c r="I191" s="285"/>
      <c r="J191" s="285"/>
      <c r="K191" s="285"/>
      <c r="L191" s="371"/>
      <c r="M191" s="378"/>
      <c r="N191" s="371">
        <f>IF(ISBLANK(CkReg16_181519[[#This Row],[Withdrawal]]),N190+CkReg16_181519[[#This Row],[Deposit]],N190-CkReg16_181519[[#This Row],[Withdrawal]])</f>
        <v>4305.2180000000008</v>
      </c>
      <c r="O191" s="372"/>
      <c r="P191" s="371">
        <f>IF(ISBLANK(CkReg16_181519[[#This Row],[Withdrawal]]),P190+CkReg16_181519[[#This Row],[Deposit]],P190-CkReg16_181519[[#This Row],[Withdrawal]])</f>
        <v>13020.217999999993</v>
      </c>
      <c r="Q191" s="376"/>
    </row>
    <row r="192" spans="7:17" s="96" customFormat="1" ht="13.8" x14ac:dyDescent="0.3">
      <c r="G192" s="286"/>
      <c r="H192" s="370"/>
      <c r="I192" s="285"/>
      <c r="J192" s="285"/>
      <c r="K192" s="285"/>
      <c r="L192" s="388"/>
      <c r="M192" s="378"/>
      <c r="N192" s="371">
        <f>IF(ISBLANK(CkReg16_181519[[#This Row],[Withdrawal]]),N191+CkReg16_181519[[#This Row],[Deposit]],N191-CkReg16_181519[[#This Row],[Withdrawal]])</f>
        <v>4305.2180000000008</v>
      </c>
      <c r="O192" s="372"/>
      <c r="P192" s="371">
        <f>IF(ISBLANK(CkReg16_181519[[#This Row],[Withdrawal]]),P191+CkReg16_181519[[#This Row],[Deposit]],P191-CkReg16_181519[[#This Row],[Withdrawal]])</f>
        <v>13020.217999999993</v>
      </c>
      <c r="Q192" s="376"/>
    </row>
    <row r="193" spans="7:17" s="96" customFormat="1" ht="13.8" x14ac:dyDescent="0.3">
      <c r="G193" s="286"/>
      <c r="H193" s="370"/>
      <c r="I193" s="285"/>
      <c r="J193" s="285"/>
      <c r="K193" s="285"/>
      <c r="L193" s="371"/>
      <c r="M193" s="378"/>
      <c r="N193" s="371">
        <f>IF(ISBLANK(CkReg16_181519[[#This Row],[Withdrawal]]),N192+CkReg16_181519[[#This Row],[Deposit]],N192-CkReg16_181519[[#This Row],[Withdrawal]])</f>
        <v>4305.2180000000008</v>
      </c>
      <c r="O193" s="372"/>
      <c r="P193" s="371">
        <f>IF(ISBLANK(CkReg16_181519[[#This Row],[Withdrawal]]),P192+CkReg16_181519[[#This Row],[Deposit]],P192-CkReg16_181519[[#This Row],[Withdrawal]])</f>
        <v>13020.217999999993</v>
      </c>
      <c r="Q193" s="376"/>
    </row>
    <row r="194" spans="7:17" s="96" customFormat="1" ht="13.8" x14ac:dyDescent="0.3">
      <c r="G194" s="286"/>
      <c r="H194" s="370"/>
      <c r="I194" s="285"/>
      <c r="J194" s="285"/>
      <c r="K194" s="285"/>
      <c r="L194" s="371"/>
      <c r="M194" s="378"/>
      <c r="N194" s="371">
        <f>IF(ISBLANK(CkReg16_181519[[#This Row],[Withdrawal]]),N193+CkReg16_181519[[#This Row],[Deposit]],N193-CkReg16_181519[[#This Row],[Withdrawal]])</f>
        <v>4305.2180000000008</v>
      </c>
      <c r="O194" s="372"/>
      <c r="P194" s="371">
        <f>IF(ISBLANK(CkReg16_181519[[#This Row],[Withdrawal]]),P193+CkReg16_181519[[#This Row],[Deposit]],P193-CkReg16_181519[[#This Row],[Withdrawal]])</f>
        <v>13020.217999999993</v>
      </c>
      <c r="Q194" s="376"/>
    </row>
    <row r="195" spans="7:17" s="96" customFormat="1" ht="13.8" x14ac:dyDescent="0.3">
      <c r="G195" s="286"/>
      <c r="H195" s="370"/>
      <c r="I195" s="285"/>
      <c r="J195" s="285"/>
      <c r="K195" s="285"/>
      <c r="L195" s="371"/>
      <c r="M195" s="378"/>
      <c r="N195" s="371">
        <f>IF(ISBLANK(CkReg16_181519[[#This Row],[Withdrawal]]),N194+CkReg16_181519[[#This Row],[Deposit]],N194-CkReg16_181519[[#This Row],[Withdrawal]])</f>
        <v>4305.2180000000008</v>
      </c>
      <c r="O195" s="372"/>
      <c r="P195" s="371">
        <f>IF(ISBLANK(CkReg16_181519[[#This Row],[Withdrawal]]),P194+CkReg16_181519[[#This Row],[Deposit]],P194-CkReg16_181519[[#This Row],[Withdrawal]])</f>
        <v>13020.217999999993</v>
      </c>
      <c r="Q195" s="376"/>
    </row>
    <row r="196" spans="7:17" s="96" customFormat="1" ht="13.8" x14ac:dyDescent="0.3">
      <c r="G196" s="286"/>
      <c r="H196" s="370"/>
      <c r="I196" s="285"/>
      <c r="J196" s="285"/>
      <c r="K196" s="285"/>
      <c r="L196" s="371"/>
      <c r="M196" s="378"/>
      <c r="N196" s="371">
        <f>IF(ISBLANK(CkReg16_181519[[#This Row],[Withdrawal]]),N195+CkReg16_181519[[#This Row],[Deposit]],N195-CkReg16_181519[[#This Row],[Withdrawal]])</f>
        <v>4305.2180000000008</v>
      </c>
      <c r="O196" s="372"/>
      <c r="P196" s="371">
        <f>IF(ISBLANK(CkReg16_181519[[#This Row],[Withdrawal]]),P195+CkReg16_181519[[#This Row],[Deposit]],P195-CkReg16_181519[[#This Row],[Withdrawal]])</f>
        <v>13020.217999999993</v>
      </c>
      <c r="Q196" s="376"/>
    </row>
    <row r="197" spans="7:17" s="96" customFormat="1" ht="13.8" x14ac:dyDescent="0.3">
      <c r="G197" s="398"/>
      <c r="H197" s="370"/>
      <c r="I197" s="285"/>
      <c r="J197" s="285"/>
      <c r="K197" s="285"/>
      <c r="L197" s="371"/>
      <c r="M197" s="378"/>
      <c r="N197" s="371">
        <f>IF(ISBLANK(CkReg16_181519[[#This Row],[Withdrawal]]),N196+CkReg16_181519[[#This Row],[Deposit]],N196-CkReg16_181519[[#This Row],[Withdrawal]])</f>
        <v>4305.2180000000008</v>
      </c>
      <c r="O197" s="372"/>
      <c r="P197" s="371">
        <f>IF(ISBLANK(CkReg16_181519[[#This Row],[Withdrawal]]),P196+CkReg16_181519[[#This Row],[Deposit]],P196-CkReg16_181519[[#This Row],[Withdrawal]])</f>
        <v>13020.217999999993</v>
      </c>
      <c r="Q197" s="376"/>
    </row>
    <row r="198" spans="7:17" s="96" customFormat="1" ht="13.8" x14ac:dyDescent="0.3">
      <c r="G198" s="398"/>
      <c r="H198" s="370"/>
      <c r="I198" s="285"/>
      <c r="J198" s="285"/>
      <c r="K198" s="285"/>
      <c r="L198" s="371"/>
      <c r="M198" s="378"/>
      <c r="N198" s="371">
        <f>IF(ISBLANK(CkReg16_181519[[#This Row],[Withdrawal]]),N197+CkReg16_181519[[#This Row],[Deposit]],N197-CkReg16_181519[[#This Row],[Withdrawal]])</f>
        <v>4305.2180000000008</v>
      </c>
      <c r="O198" s="372"/>
      <c r="P198" s="371">
        <f>IF(ISBLANK(CkReg16_181519[[#This Row],[Withdrawal]]),P197+CkReg16_181519[[#This Row],[Deposit]],P197-CkReg16_181519[[#This Row],[Withdrawal]])</f>
        <v>13020.217999999993</v>
      </c>
      <c r="Q198" s="376"/>
    </row>
    <row r="199" spans="7:17" s="96" customFormat="1" ht="13.8" x14ac:dyDescent="0.3">
      <c r="G199" s="286"/>
      <c r="H199" s="370"/>
      <c r="I199" s="285"/>
      <c r="J199" s="285"/>
      <c r="K199" s="285"/>
      <c r="L199" s="371"/>
      <c r="M199" s="378"/>
      <c r="N199" s="371">
        <f>IF(ISBLANK(CkReg16_181519[[#This Row],[Withdrawal]]),N198+CkReg16_181519[[#This Row],[Deposit]],N198-CkReg16_181519[[#This Row],[Withdrawal]])</f>
        <v>4305.2180000000008</v>
      </c>
      <c r="O199" s="372"/>
      <c r="P199" s="371">
        <f>IF(ISBLANK(CkReg16_181519[[#This Row],[Withdrawal]]),P198+CkReg16_181519[[#This Row],[Deposit]],P198-CkReg16_181519[[#This Row],[Withdrawal]])</f>
        <v>13020.217999999993</v>
      </c>
      <c r="Q199" s="376"/>
    </row>
    <row r="200" spans="7:17" s="96" customFormat="1" ht="13.8" x14ac:dyDescent="0.3">
      <c r="G200" s="286"/>
      <c r="H200" s="370"/>
      <c r="I200" s="285"/>
      <c r="J200" s="285"/>
      <c r="K200" s="285"/>
      <c r="L200" s="371"/>
      <c r="M200" s="378"/>
      <c r="N200" s="371">
        <f>IF(ISBLANK(CkReg16_181519[[#This Row],[Withdrawal]]),N199+CkReg16_181519[[#This Row],[Deposit]],N199-CkReg16_181519[[#This Row],[Withdrawal]])</f>
        <v>4305.2180000000008</v>
      </c>
      <c r="O200" s="372"/>
      <c r="P200" s="371">
        <f>IF(ISBLANK(CkReg16_181519[[#This Row],[Withdrawal]]),P199+CkReg16_181519[[#This Row],[Deposit]],P199-CkReg16_181519[[#This Row],[Withdrawal]])</f>
        <v>13020.217999999993</v>
      </c>
      <c r="Q200" s="376"/>
    </row>
    <row r="201" spans="7:17" s="96" customFormat="1" ht="13.8" x14ac:dyDescent="0.3">
      <c r="G201" s="286"/>
      <c r="H201" s="370"/>
      <c r="I201" s="285"/>
      <c r="J201" s="285"/>
      <c r="K201" s="285"/>
      <c r="L201" s="371"/>
      <c r="M201" s="378"/>
      <c r="N201" s="371">
        <f>IF(ISBLANK(CkReg16_181519[[#This Row],[Withdrawal]]),N200+CkReg16_181519[[#This Row],[Deposit]],N200-CkReg16_181519[[#This Row],[Withdrawal]])</f>
        <v>4305.2180000000008</v>
      </c>
      <c r="O201" s="372"/>
      <c r="P201" s="371">
        <f>IF(ISBLANK(CkReg16_181519[[#This Row],[Withdrawal]]),P200+CkReg16_181519[[#This Row],[Deposit]],P200-CkReg16_181519[[#This Row],[Withdrawal]])</f>
        <v>13020.217999999993</v>
      </c>
      <c r="Q201" s="376"/>
    </row>
    <row r="202" spans="7:17" s="96" customFormat="1" ht="13.8" x14ac:dyDescent="0.3">
      <c r="G202" s="286"/>
      <c r="H202" s="370"/>
      <c r="I202" s="285"/>
      <c r="J202" s="285"/>
      <c r="K202" s="285"/>
      <c r="L202" s="371"/>
      <c r="M202" s="378"/>
      <c r="N202" s="371">
        <f>IF(ISBLANK(CkReg16_181519[[#This Row],[Withdrawal]]),N201+CkReg16_181519[[#This Row],[Deposit]],N201-CkReg16_181519[[#This Row],[Withdrawal]])</f>
        <v>4305.2180000000008</v>
      </c>
      <c r="O202" s="372"/>
      <c r="P202" s="371">
        <f>IF(ISBLANK(CkReg16_181519[[#This Row],[Withdrawal]]),P201+CkReg16_181519[[#This Row],[Deposit]],P201-CkReg16_181519[[#This Row],[Withdrawal]])</f>
        <v>13020.217999999993</v>
      </c>
      <c r="Q202" s="376"/>
    </row>
    <row r="203" spans="7:17" s="96" customFormat="1" ht="13.8" x14ac:dyDescent="0.3">
      <c r="G203" s="286"/>
      <c r="H203" s="370"/>
      <c r="I203" s="285"/>
      <c r="J203" s="285"/>
      <c r="K203" s="285"/>
      <c r="L203" s="371"/>
      <c r="M203" s="378"/>
      <c r="N203" s="371">
        <f>IF(ISBLANK(CkReg16_181519[[#This Row],[Withdrawal]]),N202+CkReg16_181519[[#This Row],[Deposit]],N202-CkReg16_181519[[#This Row],[Withdrawal]])</f>
        <v>4305.2180000000008</v>
      </c>
      <c r="O203" s="372"/>
      <c r="P203" s="371">
        <f>IF(ISBLANK(CkReg16_181519[[#This Row],[Withdrawal]]),P202+CkReg16_181519[[#This Row],[Deposit]],P202-CkReg16_181519[[#This Row],[Withdrawal]])</f>
        <v>13020.217999999993</v>
      </c>
      <c r="Q203" s="376"/>
    </row>
    <row r="204" spans="7:17" s="96" customFormat="1" ht="13.8" x14ac:dyDescent="0.3">
      <c r="G204" s="389"/>
      <c r="H204" s="390"/>
      <c r="I204" s="238"/>
      <c r="J204" s="238"/>
      <c r="K204" s="238"/>
      <c r="L204" s="275">
        <f>SUBTOTAL(109,CkReg16_181519[Withdrawal])</f>
        <v>30695.470000000012</v>
      </c>
      <c r="M204" s="391">
        <f>SUBTOTAL(109,CkReg16_181519[Deposit])</f>
        <v>35000.688000000002</v>
      </c>
      <c r="N204" s="275">
        <f>CkReg16_181519[[#Totals],[Deposit]]-CkReg16_181519[[#Totals],[Withdrawal]]</f>
        <v>4305.2179999999898</v>
      </c>
      <c r="O204" s="392"/>
      <c r="P204" s="393"/>
      <c r="Q204" s="392"/>
    </row>
    <row r="205" spans="7:17" s="96" customFormat="1" ht="13.8" x14ac:dyDescent="0.3">
      <c r="G205" s="87"/>
      <c r="H205" s="182"/>
      <c r="I205" s="87"/>
      <c r="J205" s="87"/>
      <c r="K205" s="87"/>
      <c r="L205" s="99"/>
      <c r="M205" s="99"/>
      <c r="N205" s="87"/>
      <c r="O205" s="182"/>
      <c r="P205" s="191"/>
      <c r="Q205" s="182"/>
    </row>
    <row r="206" spans="7:17" s="96" customFormat="1" ht="13.8" x14ac:dyDescent="0.3">
      <c r="G206" s="87"/>
      <c r="H206" s="182"/>
      <c r="I206" s="87"/>
      <c r="J206" s="87"/>
      <c r="K206" s="87"/>
      <c r="L206" s="100"/>
      <c r="M206" s="99"/>
      <c r="N206" s="87"/>
      <c r="O206" s="182"/>
      <c r="P206" s="191"/>
      <c r="Q206" s="182"/>
    </row>
    <row r="207" spans="7:17" s="96" customFormat="1" ht="13.8" x14ac:dyDescent="0.3">
      <c r="G207" s="87"/>
      <c r="H207" s="182"/>
      <c r="I207" s="87"/>
      <c r="J207" s="87"/>
      <c r="K207" s="87"/>
      <c r="L207" s="100"/>
      <c r="M207" s="99"/>
      <c r="N207" s="87"/>
      <c r="O207" s="182"/>
      <c r="P207" s="191"/>
      <c r="Q207" s="182"/>
    </row>
    <row r="208" spans="7:17" s="96" customFormat="1" ht="13.8" x14ac:dyDescent="0.3">
      <c r="G208" s="87"/>
      <c r="H208" s="182"/>
      <c r="I208" s="87"/>
      <c r="J208" s="87"/>
      <c r="K208" s="87"/>
      <c r="L208" s="100"/>
      <c r="M208" s="87"/>
      <c r="N208" s="87"/>
      <c r="O208" s="191"/>
      <c r="P208" s="191"/>
      <c r="Q208" s="182"/>
    </row>
    <row r="209" spans="7:17" s="96" customFormat="1" ht="13.8" x14ac:dyDescent="0.3">
      <c r="G209" s="87"/>
      <c r="H209" s="182"/>
      <c r="I209" s="87"/>
      <c r="J209" s="87"/>
      <c r="K209" s="87"/>
      <c r="L209" s="87"/>
      <c r="M209" s="87"/>
      <c r="N209" s="87"/>
      <c r="O209" s="191"/>
      <c r="P209" s="191"/>
      <c r="Q209" s="182"/>
    </row>
    <row r="210" spans="7:17" s="96" customFormat="1" ht="13.8" x14ac:dyDescent="0.3">
      <c r="G210" s="87"/>
      <c r="H210" s="182"/>
      <c r="I210" s="87"/>
      <c r="J210" s="87"/>
      <c r="K210" s="87"/>
      <c r="L210" s="87"/>
      <c r="M210" s="87"/>
      <c r="N210" s="87"/>
      <c r="O210" s="191"/>
      <c r="P210" s="191"/>
      <c r="Q210" s="191"/>
    </row>
    <row r="211" spans="7:17" s="96" customFormat="1" ht="13.8" x14ac:dyDescent="0.3">
      <c r="G211" s="87"/>
      <c r="H211" s="182"/>
      <c r="I211" s="87"/>
      <c r="J211" s="87"/>
      <c r="K211" s="87"/>
      <c r="L211" s="87"/>
      <c r="M211" s="87"/>
      <c r="N211" s="87"/>
      <c r="O211" s="191"/>
      <c r="P211" s="191"/>
      <c r="Q211" s="191"/>
    </row>
    <row r="212" spans="7:17" s="96" customFormat="1" ht="13.8" x14ac:dyDescent="0.3">
      <c r="G212" s="87"/>
      <c r="H212" s="182"/>
      <c r="I212" s="87"/>
      <c r="J212" s="87"/>
      <c r="K212" s="87"/>
      <c r="L212" s="87"/>
      <c r="M212" s="87"/>
      <c r="N212" s="87"/>
      <c r="O212" s="191"/>
      <c r="P212" s="191"/>
      <c r="Q212" s="182"/>
    </row>
    <row r="213" spans="7:17" s="96" customFormat="1" ht="13.8" x14ac:dyDescent="0.3">
      <c r="G213" s="87"/>
      <c r="H213" s="182"/>
      <c r="I213" s="87"/>
      <c r="J213" s="87"/>
      <c r="K213" s="87"/>
      <c r="L213" s="87"/>
      <c r="M213" s="87"/>
      <c r="N213" s="87"/>
      <c r="O213" s="191"/>
      <c r="P213" s="191"/>
      <c r="Q213" s="182"/>
    </row>
    <row r="214" spans="7:17" s="96" customFormat="1" ht="13.8" x14ac:dyDescent="0.3">
      <c r="G214" s="87"/>
      <c r="H214" s="182"/>
      <c r="I214" s="87"/>
      <c r="J214" s="87"/>
      <c r="K214" s="87"/>
      <c r="L214" s="87"/>
      <c r="M214" s="87"/>
      <c r="N214" s="87"/>
      <c r="O214" s="191"/>
      <c r="P214" s="191"/>
      <c r="Q214" s="182"/>
    </row>
    <row r="215" spans="7:17" s="96" customFormat="1" ht="13.8" x14ac:dyDescent="0.3">
      <c r="G215" s="87"/>
      <c r="H215" s="182"/>
      <c r="I215" s="87"/>
      <c r="J215" s="87"/>
      <c r="K215" s="87"/>
      <c r="L215" s="87"/>
      <c r="M215" s="87"/>
      <c r="N215" s="87"/>
      <c r="O215" s="191"/>
      <c r="P215" s="191"/>
      <c r="Q215" s="182"/>
    </row>
    <row r="216" spans="7:17" s="96" customFormat="1" ht="13.8" x14ac:dyDescent="0.3">
      <c r="G216" s="87"/>
      <c r="H216" s="182"/>
      <c r="I216" s="87"/>
      <c r="J216" s="87"/>
      <c r="K216" s="87"/>
      <c r="L216" s="87"/>
      <c r="M216" s="87"/>
      <c r="N216" s="87"/>
      <c r="O216" s="191"/>
      <c r="P216" s="191"/>
      <c r="Q216" s="182"/>
    </row>
    <row r="217" spans="7:17" s="96" customFormat="1" ht="13.8" x14ac:dyDescent="0.3">
      <c r="G217" s="87"/>
      <c r="H217" s="182"/>
      <c r="I217" s="87"/>
      <c r="J217" s="87"/>
      <c r="K217" s="87"/>
      <c r="L217" s="87"/>
      <c r="M217" s="87"/>
      <c r="N217" s="87"/>
      <c r="O217" s="191"/>
      <c r="P217" s="191"/>
      <c r="Q217" s="182"/>
    </row>
    <row r="218" spans="7:17" s="96" customFormat="1" ht="13.8" x14ac:dyDescent="0.3">
      <c r="G218" s="87"/>
      <c r="H218" s="182"/>
      <c r="I218" s="87"/>
      <c r="J218" s="87"/>
      <c r="K218" s="87"/>
      <c r="L218" s="87"/>
      <c r="M218" s="87"/>
      <c r="N218" s="87"/>
      <c r="O218" s="191"/>
      <c r="P218" s="191"/>
      <c r="Q218" s="182"/>
    </row>
    <row r="219" spans="7:17" s="96" customFormat="1" ht="13.8" x14ac:dyDescent="0.3">
      <c r="G219" s="87"/>
      <c r="H219" s="182"/>
      <c r="I219" s="87"/>
      <c r="J219" s="87"/>
      <c r="K219" s="87"/>
      <c r="L219" s="87"/>
      <c r="M219" s="87"/>
      <c r="N219" s="87"/>
      <c r="O219" s="182"/>
      <c r="P219" s="191"/>
      <c r="Q219" s="182"/>
    </row>
    <row r="220" spans="7:17" s="96" customFormat="1" ht="13.8" x14ac:dyDescent="0.3">
      <c r="G220" s="87"/>
      <c r="H220" s="182"/>
      <c r="I220" s="87"/>
      <c r="J220" s="87"/>
      <c r="K220" s="87"/>
      <c r="L220" s="87"/>
      <c r="M220" s="87"/>
      <c r="N220" s="87"/>
      <c r="O220" s="182"/>
      <c r="P220" s="191"/>
      <c r="Q220" s="182"/>
    </row>
    <row r="221" spans="7:17" s="96" customFormat="1" ht="13.8" x14ac:dyDescent="0.3">
      <c r="G221" s="87"/>
      <c r="H221" s="182"/>
      <c r="I221" s="87"/>
      <c r="J221" s="87"/>
      <c r="K221" s="87"/>
      <c r="L221" s="87"/>
      <c r="M221" s="87"/>
      <c r="N221" s="87"/>
      <c r="O221" s="182"/>
      <c r="P221" s="191"/>
      <c r="Q221" s="182"/>
    </row>
    <row r="222" spans="7:17" s="96" customFormat="1" ht="13.8" x14ac:dyDescent="0.3">
      <c r="G222" s="87"/>
      <c r="H222" s="182"/>
      <c r="I222" s="87"/>
      <c r="J222" s="87"/>
      <c r="K222" s="87"/>
      <c r="L222" s="87"/>
      <c r="M222" s="87"/>
      <c r="N222" s="87"/>
      <c r="O222" s="182"/>
      <c r="P222" s="191"/>
      <c r="Q222" s="182"/>
    </row>
    <row r="223" spans="7:17" s="96" customFormat="1" ht="13.8" x14ac:dyDescent="0.3">
      <c r="G223" s="87"/>
      <c r="H223" s="182"/>
      <c r="I223" s="87"/>
      <c r="J223" s="87"/>
      <c r="K223" s="87"/>
      <c r="L223" s="87"/>
      <c r="M223" s="87"/>
      <c r="N223" s="87"/>
      <c r="O223" s="182"/>
      <c r="P223" s="191"/>
      <c r="Q223" s="182"/>
    </row>
    <row r="224" spans="7:17" s="96" customFormat="1" ht="13.8" x14ac:dyDescent="0.3">
      <c r="G224" s="87"/>
      <c r="H224" s="182"/>
      <c r="I224" s="87"/>
      <c r="J224" s="87"/>
      <c r="K224" s="87"/>
      <c r="L224" s="87"/>
      <c r="M224" s="87"/>
      <c r="N224" s="87"/>
      <c r="O224" s="182"/>
      <c r="P224" s="191"/>
      <c r="Q224" s="182"/>
    </row>
    <row r="225" spans="7:17" s="96" customFormat="1" ht="13.8" x14ac:dyDescent="0.3">
      <c r="G225" s="87"/>
      <c r="H225" s="182"/>
      <c r="I225" s="87"/>
      <c r="J225" s="87"/>
      <c r="K225" s="87"/>
      <c r="L225" s="87"/>
      <c r="M225" s="87"/>
      <c r="N225" s="87"/>
      <c r="O225" s="182"/>
      <c r="P225" s="191"/>
      <c r="Q225" s="182"/>
    </row>
    <row r="226" spans="7:17" s="96" customFormat="1" ht="13.8" x14ac:dyDescent="0.3">
      <c r="G226" s="87"/>
      <c r="H226" s="182"/>
      <c r="I226" s="87"/>
      <c r="J226" s="87"/>
      <c r="K226" s="87"/>
      <c r="L226" s="87"/>
      <c r="M226" s="87"/>
      <c r="N226" s="87"/>
      <c r="O226" s="182"/>
      <c r="P226" s="191"/>
      <c r="Q226" s="182"/>
    </row>
    <row r="227" spans="7:17" s="96" customFormat="1" ht="13.8" x14ac:dyDescent="0.3">
      <c r="G227" s="87"/>
      <c r="H227" s="182"/>
      <c r="I227" s="87"/>
      <c r="J227" s="87"/>
      <c r="K227" s="87"/>
      <c r="L227" s="87"/>
      <c r="M227" s="87"/>
      <c r="N227" s="87"/>
      <c r="O227" s="182"/>
      <c r="P227" s="191"/>
      <c r="Q227" s="182"/>
    </row>
    <row r="228" spans="7:17" s="96" customFormat="1" ht="13.8" x14ac:dyDescent="0.3">
      <c r="G228" s="87"/>
      <c r="H228" s="182"/>
      <c r="I228" s="87"/>
      <c r="J228" s="87"/>
      <c r="K228" s="87"/>
      <c r="L228" s="87"/>
      <c r="M228" s="87"/>
      <c r="N228" s="87"/>
      <c r="O228" s="182"/>
      <c r="P228" s="191"/>
      <c r="Q228" s="182"/>
    </row>
    <row r="229" spans="7:17" s="96" customFormat="1" ht="13.8" x14ac:dyDescent="0.3">
      <c r="G229" s="87"/>
      <c r="H229" s="182"/>
      <c r="I229" s="87"/>
      <c r="J229" s="87"/>
      <c r="K229" s="87"/>
      <c r="L229" s="87"/>
      <c r="M229" s="87"/>
      <c r="N229" s="87"/>
      <c r="O229" s="182"/>
      <c r="P229" s="191"/>
      <c r="Q229" s="182"/>
    </row>
    <row r="230" spans="7:17" s="96" customFormat="1" ht="13.8" x14ac:dyDescent="0.3">
      <c r="G230" s="87"/>
      <c r="H230" s="182"/>
      <c r="I230" s="87"/>
      <c r="J230" s="87"/>
      <c r="K230" s="87"/>
      <c r="L230" s="87"/>
      <c r="M230" s="87"/>
      <c r="N230" s="87"/>
      <c r="O230" s="182"/>
      <c r="P230" s="191"/>
      <c r="Q230" s="182"/>
    </row>
    <row r="231" spans="7:17" s="96" customFormat="1" ht="13.8" x14ac:dyDescent="0.3">
      <c r="G231" s="87"/>
      <c r="H231" s="182"/>
      <c r="I231" s="87"/>
      <c r="J231" s="87"/>
      <c r="K231" s="87"/>
      <c r="L231" s="87"/>
      <c r="M231" s="87"/>
      <c r="N231" s="87"/>
      <c r="O231" s="182"/>
      <c r="P231" s="191"/>
      <c r="Q231" s="182"/>
    </row>
    <row r="232" spans="7:17" s="96" customFormat="1" ht="13.8" x14ac:dyDescent="0.3">
      <c r="G232" s="87"/>
      <c r="H232" s="182"/>
      <c r="I232" s="87"/>
      <c r="J232" s="87"/>
      <c r="K232" s="87"/>
      <c r="L232" s="87"/>
      <c r="M232" s="87"/>
      <c r="N232" s="87"/>
      <c r="O232" s="182"/>
      <c r="P232" s="191"/>
      <c r="Q232" s="182"/>
    </row>
    <row r="233" spans="7:17" s="96" customFormat="1" ht="13.8" x14ac:dyDescent="0.3">
      <c r="G233" s="87"/>
      <c r="H233" s="182"/>
      <c r="I233" s="87"/>
      <c r="J233" s="87"/>
      <c r="K233" s="87"/>
      <c r="L233" s="87"/>
      <c r="M233" s="87"/>
      <c r="N233" s="87"/>
      <c r="O233" s="182"/>
      <c r="P233" s="191"/>
      <c r="Q233" s="182"/>
    </row>
    <row r="234" spans="7:17" s="96" customFormat="1" ht="13.8" x14ac:dyDescent="0.3">
      <c r="G234" s="87"/>
      <c r="H234" s="182"/>
      <c r="I234" s="87"/>
      <c r="J234" s="87"/>
      <c r="K234" s="87"/>
      <c r="L234" s="87"/>
      <c r="M234" s="87"/>
      <c r="N234" s="87"/>
      <c r="O234" s="182"/>
      <c r="P234" s="191"/>
      <c r="Q234" s="182"/>
    </row>
    <row r="235" spans="7:17" s="96" customFormat="1" ht="13.8" x14ac:dyDescent="0.3">
      <c r="G235" s="87"/>
      <c r="H235" s="182"/>
      <c r="I235" s="87"/>
      <c r="J235" s="87"/>
      <c r="K235" s="87"/>
      <c r="L235" s="87"/>
      <c r="M235" s="87"/>
      <c r="N235" s="87"/>
      <c r="O235" s="182"/>
      <c r="P235" s="191"/>
      <c r="Q235" s="182"/>
    </row>
    <row r="236" spans="7:17" s="96" customFormat="1" ht="13.8" x14ac:dyDescent="0.3">
      <c r="G236" s="87"/>
      <c r="H236" s="182"/>
      <c r="I236" s="87"/>
      <c r="J236" s="87"/>
      <c r="K236" s="87"/>
      <c r="L236" s="87"/>
      <c r="M236" s="87"/>
      <c r="N236" s="87"/>
      <c r="O236" s="182"/>
      <c r="P236" s="191"/>
      <c r="Q236" s="182"/>
    </row>
    <row r="237" spans="7:17" s="96" customFormat="1" ht="13.8" x14ac:dyDescent="0.3">
      <c r="G237" s="87"/>
      <c r="H237" s="182"/>
      <c r="I237" s="87"/>
      <c r="J237" s="87"/>
      <c r="K237" s="87"/>
      <c r="L237" s="87"/>
      <c r="M237" s="87"/>
      <c r="N237" s="87"/>
      <c r="O237" s="182"/>
      <c r="P237" s="191"/>
      <c r="Q237" s="182"/>
    </row>
    <row r="238" spans="7:17" s="96" customFormat="1" ht="13.8" x14ac:dyDescent="0.3">
      <c r="G238" s="87"/>
      <c r="H238" s="182"/>
      <c r="I238" s="87"/>
      <c r="J238" s="87"/>
      <c r="K238" s="87"/>
      <c r="L238" s="87"/>
      <c r="M238" s="87"/>
      <c r="N238" s="87"/>
      <c r="O238" s="182"/>
      <c r="P238" s="191"/>
      <c r="Q238" s="182"/>
    </row>
    <row r="239" spans="7:17" s="96" customFormat="1" ht="13.8" x14ac:dyDescent="0.3">
      <c r="G239" s="87"/>
      <c r="H239" s="182"/>
      <c r="I239" s="87"/>
      <c r="J239" s="87"/>
      <c r="K239" s="87"/>
      <c r="L239" s="87"/>
      <c r="M239" s="87"/>
      <c r="N239" s="87"/>
      <c r="O239" s="182"/>
      <c r="P239" s="191"/>
      <c r="Q239" s="182"/>
    </row>
    <row r="240" spans="7:17" s="96" customFormat="1" ht="13.8" x14ac:dyDescent="0.3">
      <c r="G240" s="87"/>
      <c r="H240" s="182"/>
      <c r="I240" s="87"/>
      <c r="J240" s="87"/>
      <c r="K240" s="87"/>
      <c r="L240" s="87"/>
      <c r="M240" s="87"/>
      <c r="N240" s="87"/>
      <c r="O240" s="182"/>
      <c r="P240" s="191"/>
      <c r="Q240" s="182"/>
    </row>
    <row r="241" spans="7:17" s="96" customFormat="1" ht="13.8" x14ac:dyDescent="0.3">
      <c r="G241" s="87"/>
      <c r="H241" s="182"/>
      <c r="I241" s="87"/>
      <c r="J241" s="87"/>
      <c r="K241" s="87"/>
      <c r="L241" s="87"/>
      <c r="M241" s="87"/>
      <c r="N241" s="87"/>
      <c r="O241" s="182"/>
      <c r="P241" s="191"/>
      <c r="Q241" s="182"/>
    </row>
    <row r="242" spans="7:17" s="96" customFormat="1" ht="13.8" x14ac:dyDescent="0.3">
      <c r="G242" s="87"/>
      <c r="H242" s="182"/>
      <c r="I242" s="87"/>
      <c r="J242" s="87"/>
      <c r="K242" s="87"/>
      <c r="L242" s="87"/>
      <c r="M242" s="87"/>
      <c r="N242" s="87"/>
      <c r="O242" s="182"/>
      <c r="P242" s="191"/>
      <c r="Q242" s="182"/>
    </row>
    <row r="243" spans="7:17" s="96" customFormat="1" ht="13.8" x14ac:dyDescent="0.3">
      <c r="G243" s="87"/>
      <c r="H243" s="182"/>
      <c r="I243" s="87"/>
      <c r="J243" s="87"/>
      <c r="K243" s="87"/>
      <c r="L243" s="87"/>
      <c r="M243" s="87"/>
      <c r="N243" s="87"/>
      <c r="O243" s="182"/>
      <c r="P243" s="191"/>
      <c r="Q243" s="182"/>
    </row>
    <row r="244" spans="7:17" s="96" customFormat="1" ht="13.8" x14ac:dyDescent="0.3">
      <c r="G244" s="87"/>
      <c r="H244" s="182"/>
      <c r="I244" s="87"/>
      <c r="J244" s="87"/>
      <c r="K244" s="87"/>
      <c r="L244" s="87"/>
      <c r="M244" s="87"/>
      <c r="N244" s="87"/>
      <c r="O244" s="182"/>
      <c r="P244" s="191"/>
      <c r="Q244" s="182"/>
    </row>
    <row r="245" spans="7:17" s="96" customFormat="1" ht="13.8" x14ac:dyDescent="0.3">
      <c r="G245" s="87"/>
      <c r="H245" s="182"/>
      <c r="I245" s="87"/>
      <c r="J245" s="87"/>
      <c r="K245" s="87"/>
      <c r="L245" s="87"/>
      <c r="M245" s="87"/>
      <c r="N245" s="87"/>
      <c r="O245" s="182"/>
      <c r="P245" s="191"/>
      <c r="Q245" s="182"/>
    </row>
    <row r="246" spans="7:17" s="96" customFormat="1" ht="13.8" x14ac:dyDescent="0.3">
      <c r="G246" s="87"/>
      <c r="H246" s="182"/>
      <c r="I246" s="87"/>
      <c r="J246" s="87"/>
      <c r="K246" s="87"/>
      <c r="L246" s="87"/>
      <c r="M246" s="87"/>
      <c r="N246" s="87"/>
      <c r="O246" s="182"/>
      <c r="P246" s="191"/>
      <c r="Q246" s="182"/>
    </row>
    <row r="247" spans="7:17" s="96" customFormat="1" ht="13.8" x14ac:dyDescent="0.3">
      <c r="G247" s="87"/>
      <c r="H247" s="182"/>
      <c r="I247" s="87"/>
      <c r="J247" s="87"/>
      <c r="K247" s="87"/>
      <c r="L247" s="87"/>
      <c r="M247" s="87"/>
      <c r="N247" s="87"/>
      <c r="O247" s="182"/>
      <c r="P247" s="191"/>
      <c r="Q247" s="182"/>
    </row>
    <row r="248" spans="7:17" s="96" customFormat="1" ht="13.8" x14ac:dyDescent="0.3">
      <c r="G248" s="87"/>
      <c r="H248" s="182"/>
      <c r="I248" s="87"/>
      <c r="J248" s="87"/>
      <c r="K248" s="87"/>
      <c r="L248" s="87"/>
      <c r="M248" s="87"/>
      <c r="N248" s="87"/>
      <c r="O248" s="182"/>
      <c r="P248" s="191"/>
      <c r="Q248" s="182"/>
    </row>
    <row r="249" spans="7:17" s="96" customFormat="1" ht="13.8" x14ac:dyDescent="0.3">
      <c r="G249" s="87"/>
      <c r="H249" s="182"/>
      <c r="I249" s="87"/>
      <c r="J249" s="87"/>
      <c r="K249" s="87"/>
      <c r="L249" s="87"/>
      <c r="M249" s="87"/>
      <c r="N249" s="87"/>
      <c r="O249" s="182"/>
      <c r="P249" s="191"/>
      <c r="Q249" s="182"/>
    </row>
    <row r="250" spans="7:17" s="96" customFormat="1" ht="13.8" x14ac:dyDescent="0.3">
      <c r="G250" s="87"/>
      <c r="H250" s="182"/>
      <c r="I250" s="87"/>
      <c r="J250" s="87"/>
      <c r="K250" s="87"/>
      <c r="L250" s="87"/>
      <c r="M250" s="87"/>
      <c r="N250" s="87"/>
      <c r="O250" s="182"/>
      <c r="P250" s="191"/>
      <c r="Q250" s="182"/>
    </row>
    <row r="251" spans="7:17" s="96" customFormat="1" ht="13.8" x14ac:dyDescent="0.3">
      <c r="G251" s="87"/>
      <c r="H251" s="182"/>
      <c r="I251" s="87"/>
      <c r="J251" s="87"/>
      <c r="K251" s="87"/>
      <c r="L251" s="87"/>
      <c r="M251" s="87"/>
      <c r="N251" s="87"/>
      <c r="O251" s="182"/>
      <c r="P251" s="191"/>
      <c r="Q251" s="182"/>
    </row>
    <row r="252" spans="7:17" s="96" customFormat="1" ht="13.8" x14ac:dyDescent="0.3">
      <c r="G252" s="87"/>
      <c r="H252" s="182"/>
      <c r="I252" s="87"/>
      <c r="J252" s="87"/>
      <c r="K252" s="87"/>
      <c r="L252" s="87"/>
      <c r="M252" s="87"/>
      <c r="N252" s="87"/>
      <c r="O252" s="182"/>
      <c r="P252" s="191"/>
      <c r="Q252" s="182"/>
    </row>
    <row r="253" spans="7:17" s="96" customFormat="1" ht="13.8" x14ac:dyDescent="0.3">
      <c r="G253" s="87"/>
      <c r="H253" s="182"/>
      <c r="I253" s="87"/>
      <c r="J253" s="87"/>
      <c r="K253" s="87"/>
      <c r="L253" s="87"/>
      <c r="M253" s="87"/>
      <c r="N253" s="87"/>
      <c r="O253" s="182"/>
      <c r="P253" s="191"/>
      <c r="Q253" s="182"/>
    </row>
    <row r="254" spans="7:17" s="96" customFormat="1" ht="13.8" x14ac:dyDescent="0.3">
      <c r="G254" s="87"/>
      <c r="H254" s="182"/>
      <c r="I254" s="87"/>
      <c r="J254" s="87"/>
      <c r="K254" s="87"/>
      <c r="L254" s="87"/>
      <c r="M254" s="87"/>
      <c r="N254" s="87"/>
      <c r="O254" s="182"/>
      <c r="P254" s="191"/>
      <c r="Q254" s="182"/>
    </row>
    <row r="255" spans="7:17" s="96" customFormat="1" ht="13.8" x14ac:dyDescent="0.3">
      <c r="G255" s="87"/>
      <c r="H255" s="182"/>
      <c r="I255" s="87"/>
      <c r="J255" s="87"/>
      <c r="K255" s="87"/>
      <c r="L255" s="87"/>
      <c r="M255" s="87"/>
      <c r="N255" s="87"/>
      <c r="O255" s="182"/>
      <c r="P255" s="191"/>
      <c r="Q255" s="182"/>
    </row>
    <row r="256" spans="7:17" s="96" customFormat="1" ht="13.8" x14ac:dyDescent="0.3">
      <c r="G256" s="87"/>
      <c r="H256" s="182"/>
      <c r="I256" s="87"/>
      <c r="J256" s="87"/>
      <c r="K256" s="87"/>
      <c r="L256" s="87"/>
      <c r="M256" s="87"/>
      <c r="N256" s="87"/>
      <c r="O256" s="182"/>
      <c r="P256" s="191"/>
      <c r="Q256" s="182"/>
    </row>
    <row r="257" spans="7:17" s="96" customFormat="1" ht="13.8" x14ac:dyDescent="0.3">
      <c r="G257" s="87"/>
      <c r="H257" s="182"/>
      <c r="I257" s="87"/>
      <c r="J257" s="87"/>
      <c r="K257" s="87"/>
      <c r="L257" s="87"/>
      <c r="M257" s="87"/>
      <c r="N257" s="87"/>
      <c r="O257" s="182"/>
      <c r="P257" s="191"/>
      <c r="Q257" s="182"/>
    </row>
    <row r="258" spans="7:17" s="96" customFormat="1" ht="13.8" x14ac:dyDescent="0.3">
      <c r="G258" s="87"/>
      <c r="H258" s="182"/>
      <c r="I258" s="87"/>
      <c r="J258" s="87"/>
      <c r="K258" s="87"/>
      <c r="L258" s="87"/>
      <c r="M258" s="87"/>
      <c r="N258" s="87"/>
      <c r="O258" s="182"/>
      <c r="P258" s="191"/>
      <c r="Q258" s="182"/>
    </row>
    <row r="259" spans="7:17" s="96" customFormat="1" ht="13.8" x14ac:dyDescent="0.3">
      <c r="G259" s="87"/>
      <c r="H259" s="182"/>
      <c r="I259" s="87"/>
      <c r="J259" s="87"/>
      <c r="K259" s="87"/>
      <c r="L259" s="87"/>
      <c r="M259" s="87"/>
      <c r="N259" s="87"/>
      <c r="O259" s="182"/>
      <c r="P259" s="191"/>
      <c r="Q259" s="182"/>
    </row>
    <row r="260" spans="7:17" s="96" customFormat="1" ht="13.8" x14ac:dyDescent="0.3">
      <c r="G260" s="87"/>
      <c r="H260" s="182"/>
      <c r="I260" s="87"/>
      <c r="J260" s="87"/>
      <c r="K260" s="87"/>
      <c r="L260" s="87"/>
      <c r="M260" s="87"/>
      <c r="N260" s="87"/>
      <c r="O260" s="182"/>
      <c r="P260" s="191"/>
      <c r="Q260" s="182"/>
    </row>
    <row r="261" spans="7:17" s="96" customFormat="1" ht="13.8" x14ac:dyDescent="0.3">
      <c r="G261" s="87"/>
      <c r="H261" s="182"/>
      <c r="I261" s="87"/>
      <c r="J261" s="87"/>
      <c r="K261" s="87"/>
      <c r="L261" s="87"/>
      <c r="M261" s="87"/>
      <c r="N261" s="87"/>
      <c r="O261" s="182"/>
      <c r="P261" s="191"/>
      <c r="Q261" s="182"/>
    </row>
    <row r="262" spans="7:17" s="96" customFormat="1" ht="13.8" x14ac:dyDescent="0.3">
      <c r="G262" s="87"/>
      <c r="H262" s="182"/>
      <c r="I262" s="87"/>
      <c r="J262" s="87"/>
      <c r="K262" s="87"/>
      <c r="L262" s="87"/>
      <c r="M262" s="87"/>
      <c r="N262" s="87"/>
      <c r="O262" s="182"/>
      <c r="P262" s="191"/>
      <c r="Q262" s="182"/>
    </row>
    <row r="263" spans="7:17" s="96" customFormat="1" ht="13.8" x14ac:dyDescent="0.3">
      <c r="G263" s="87"/>
      <c r="H263" s="182"/>
      <c r="I263" s="87"/>
      <c r="J263" s="87"/>
      <c r="K263" s="87"/>
      <c r="L263" s="87"/>
      <c r="M263" s="87"/>
      <c r="N263" s="87"/>
      <c r="O263" s="182"/>
      <c r="P263" s="191"/>
      <c r="Q263" s="182"/>
    </row>
    <row r="264" spans="7:17" s="96" customFormat="1" ht="13.8" x14ac:dyDescent="0.3">
      <c r="G264" s="87"/>
      <c r="H264" s="182"/>
      <c r="I264" s="87"/>
      <c r="J264" s="87"/>
      <c r="K264" s="87"/>
      <c r="L264" s="87"/>
      <c r="M264" s="87"/>
      <c r="N264" s="87"/>
      <c r="O264" s="182"/>
      <c r="P264" s="191"/>
      <c r="Q264" s="182"/>
    </row>
    <row r="265" spans="7:17" s="96" customFormat="1" ht="13.8" x14ac:dyDescent="0.3">
      <c r="G265" s="87"/>
      <c r="H265" s="182"/>
      <c r="I265" s="87"/>
      <c r="J265" s="87"/>
      <c r="K265" s="87"/>
      <c r="L265" s="87"/>
      <c r="M265" s="87"/>
      <c r="N265" s="87"/>
      <c r="O265" s="182"/>
      <c r="P265" s="191"/>
      <c r="Q265" s="182"/>
    </row>
    <row r="266" spans="7:17" s="96" customFormat="1" ht="13.8" x14ac:dyDescent="0.3">
      <c r="G266" s="87"/>
      <c r="H266" s="182"/>
      <c r="I266" s="87"/>
      <c r="J266" s="87"/>
      <c r="K266" s="87"/>
      <c r="L266" s="87"/>
      <c r="M266" s="87"/>
      <c r="N266" s="87"/>
      <c r="O266" s="182"/>
      <c r="P266" s="191"/>
      <c r="Q266" s="182"/>
    </row>
    <row r="267" spans="7:17" s="96" customFormat="1" ht="13.8" x14ac:dyDescent="0.3">
      <c r="G267" s="87"/>
      <c r="H267" s="182"/>
      <c r="I267" s="87"/>
      <c r="J267" s="87"/>
      <c r="K267" s="87"/>
      <c r="L267" s="87"/>
      <c r="M267" s="87"/>
      <c r="N267" s="87"/>
      <c r="O267" s="182"/>
      <c r="P267" s="191"/>
      <c r="Q267" s="182"/>
    </row>
    <row r="268" spans="7:17" s="96" customFormat="1" ht="13.8" x14ac:dyDescent="0.3">
      <c r="G268" s="87"/>
      <c r="H268" s="182"/>
      <c r="I268" s="87"/>
      <c r="J268" s="87"/>
      <c r="K268" s="87"/>
      <c r="L268" s="87"/>
      <c r="M268" s="87"/>
      <c r="N268" s="87"/>
      <c r="O268" s="182"/>
      <c r="P268" s="191"/>
      <c r="Q268" s="182"/>
    </row>
    <row r="269" spans="7:17" s="96" customFormat="1" ht="13.8" x14ac:dyDescent="0.3">
      <c r="G269" s="87"/>
      <c r="H269" s="182"/>
      <c r="I269" s="87"/>
      <c r="J269" s="87"/>
      <c r="K269" s="87"/>
      <c r="L269" s="87"/>
      <c r="M269" s="87"/>
      <c r="N269" s="87"/>
      <c r="O269" s="182"/>
      <c r="P269" s="191"/>
      <c r="Q269" s="182"/>
    </row>
    <row r="270" spans="7:17" s="96" customFormat="1" ht="13.8" x14ac:dyDescent="0.3">
      <c r="G270" s="87"/>
      <c r="H270" s="182"/>
      <c r="I270" s="87"/>
      <c r="J270" s="87"/>
      <c r="K270" s="87"/>
      <c r="L270" s="87"/>
      <c r="M270" s="87"/>
      <c r="N270" s="87"/>
      <c r="O270" s="182"/>
      <c r="P270" s="191"/>
      <c r="Q270" s="182"/>
    </row>
    <row r="271" spans="7:17" s="96" customFormat="1" ht="13.8" x14ac:dyDescent="0.3">
      <c r="G271" s="87"/>
      <c r="H271" s="182"/>
      <c r="I271" s="87"/>
      <c r="J271" s="87"/>
      <c r="K271" s="87"/>
      <c r="L271" s="87"/>
      <c r="M271" s="87"/>
      <c r="N271" s="87"/>
      <c r="O271" s="182"/>
      <c r="P271" s="191"/>
      <c r="Q271" s="182"/>
    </row>
    <row r="272" spans="7:17" s="96" customFormat="1" ht="13.8" x14ac:dyDescent="0.3">
      <c r="G272" s="87"/>
      <c r="H272" s="182"/>
      <c r="I272" s="87"/>
      <c r="J272" s="87"/>
      <c r="K272" s="87"/>
      <c r="L272" s="87"/>
      <c r="M272" s="87"/>
      <c r="N272" s="87"/>
      <c r="O272" s="182"/>
      <c r="P272" s="191"/>
      <c r="Q272" s="182"/>
    </row>
    <row r="273" spans="7:17" s="96" customFormat="1" ht="13.8" x14ac:dyDescent="0.3">
      <c r="G273" s="87"/>
      <c r="H273" s="182"/>
      <c r="I273" s="87"/>
      <c r="J273" s="87"/>
      <c r="K273" s="87"/>
      <c r="L273" s="87"/>
      <c r="M273" s="87"/>
      <c r="N273" s="87"/>
      <c r="O273" s="182"/>
      <c r="P273" s="191"/>
      <c r="Q273" s="182"/>
    </row>
    <row r="274" spans="7:17" s="96" customFormat="1" ht="13.8" x14ac:dyDescent="0.3">
      <c r="G274" s="87"/>
      <c r="H274" s="182"/>
      <c r="I274" s="87"/>
      <c r="J274" s="87"/>
      <c r="K274" s="87"/>
      <c r="L274" s="87"/>
      <c r="M274" s="87"/>
      <c r="N274" s="87"/>
      <c r="O274" s="182"/>
      <c r="P274" s="191"/>
      <c r="Q274" s="182"/>
    </row>
    <row r="275" spans="7:17" s="96" customFormat="1" ht="13.8" x14ac:dyDescent="0.3">
      <c r="G275" s="87"/>
      <c r="H275" s="182"/>
      <c r="I275" s="87"/>
      <c r="J275" s="87"/>
      <c r="K275" s="87"/>
      <c r="L275" s="87"/>
      <c r="M275" s="87"/>
      <c r="N275" s="87"/>
      <c r="O275" s="182"/>
      <c r="P275" s="191"/>
      <c r="Q275" s="182"/>
    </row>
    <row r="276" spans="7:17" s="96" customFormat="1" ht="13.8" x14ac:dyDescent="0.3">
      <c r="G276" s="87"/>
      <c r="H276" s="182"/>
      <c r="I276" s="87"/>
      <c r="J276" s="87"/>
      <c r="K276" s="87"/>
      <c r="L276" s="87"/>
      <c r="M276" s="87"/>
      <c r="N276" s="87"/>
      <c r="O276" s="182"/>
      <c r="P276" s="191"/>
      <c r="Q276" s="182"/>
    </row>
    <row r="277" spans="7:17" s="96" customFormat="1" ht="13.8" x14ac:dyDescent="0.3">
      <c r="G277" s="87"/>
      <c r="H277" s="182"/>
      <c r="I277" s="87"/>
      <c r="J277" s="87"/>
      <c r="K277" s="87"/>
      <c r="L277" s="87"/>
      <c r="M277" s="87"/>
      <c r="N277" s="87"/>
      <c r="O277" s="182"/>
      <c r="P277" s="191"/>
      <c r="Q277" s="182"/>
    </row>
    <row r="278" spans="7:17" s="96" customFormat="1" ht="13.8" x14ac:dyDescent="0.3">
      <c r="G278" s="87"/>
      <c r="H278" s="182"/>
      <c r="I278" s="87"/>
      <c r="J278" s="87"/>
      <c r="K278" s="87"/>
      <c r="L278" s="87"/>
      <c r="M278" s="87"/>
      <c r="N278" s="87"/>
      <c r="O278" s="182"/>
      <c r="P278" s="191"/>
      <c r="Q278" s="182"/>
    </row>
    <row r="279" spans="7:17" s="96" customFormat="1" ht="13.8" x14ac:dyDescent="0.3">
      <c r="G279" s="87"/>
      <c r="H279" s="182"/>
      <c r="I279" s="87"/>
      <c r="J279" s="87"/>
      <c r="K279" s="87"/>
      <c r="L279" s="87"/>
      <c r="M279" s="87"/>
      <c r="N279" s="87"/>
      <c r="O279" s="182"/>
      <c r="P279" s="191"/>
      <c r="Q279" s="182"/>
    </row>
    <row r="280" spans="7:17" s="96" customFormat="1" ht="13.8" x14ac:dyDescent="0.3">
      <c r="G280" s="87"/>
      <c r="H280" s="182"/>
      <c r="I280" s="87"/>
      <c r="J280" s="87"/>
      <c r="K280" s="87"/>
      <c r="L280" s="87"/>
      <c r="M280" s="87"/>
      <c r="N280" s="87"/>
      <c r="O280" s="182"/>
      <c r="P280" s="191"/>
      <c r="Q280" s="182"/>
    </row>
    <row r="281" spans="7:17" s="96" customFormat="1" ht="13.8" x14ac:dyDescent="0.3">
      <c r="G281" s="87"/>
      <c r="H281" s="182"/>
      <c r="I281" s="87"/>
      <c r="J281" s="87"/>
      <c r="K281" s="87"/>
      <c r="L281" s="87"/>
      <c r="M281" s="87"/>
      <c r="N281" s="87"/>
      <c r="O281" s="182"/>
      <c r="P281" s="191"/>
      <c r="Q281" s="182"/>
    </row>
    <row r="282" spans="7:17" s="96" customFormat="1" ht="13.8" x14ac:dyDescent="0.3">
      <c r="G282" s="87"/>
      <c r="H282" s="182"/>
      <c r="I282" s="87"/>
      <c r="J282" s="87"/>
      <c r="K282" s="87"/>
      <c r="L282" s="87"/>
      <c r="M282" s="87"/>
      <c r="N282" s="87"/>
      <c r="O282" s="182"/>
      <c r="P282" s="191"/>
      <c r="Q282" s="182"/>
    </row>
    <row r="283" spans="7:17" s="96" customFormat="1" ht="13.8" x14ac:dyDescent="0.3">
      <c r="G283" s="87"/>
      <c r="H283" s="182"/>
      <c r="I283" s="87"/>
      <c r="J283" s="87"/>
      <c r="K283" s="87"/>
      <c r="L283" s="87"/>
      <c r="M283" s="87"/>
      <c r="N283" s="87"/>
      <c r="O283" s="182"/>
      <c r="P283" s="191"/>
      <c r="Q283" s="182"/>
    </row>
    <row r="284" spans="7:17" s="96" customFormat="1" ht="13.8" x14ac:dyDescent="0.3">
      <c r="G284" s="87"/>
      <c r="H284" s="182"/>
      <c r="I284" s="87"/>
      <c r="J284" s="87"/>
      <c r="K284" s="87"/>
      <c r="L284" s="87"/>
      <c r="M284" s="87"/>
      <c r="N284" s="87"/>
      <c r="O284" s="182"/>
      <c r="P284" s="191"/>
      <c r="Q284" s="182"/>
    </row>
    <row r="285" spans="7:17" s="96" customFormat="1" ht="13.8" x14ac:dyDescent="0.3">
      <c r="G285" s="87"/>
      <c r="H285" s="182"/>
      <c r="I285" s="87"/>
      <c r="J285" s="87"/>
      <c r="K285" s="87"/>
      <c r="L285" s="87"/>
      <c r="M285" s="87"/>
      <c r="N285" s="87"/>
      <c r="O285" s="182"/>
      <c r="P285" s="191"/>
      <c r="Q285" s="182"/>
    </row>
    <row r="286" spans="7:17" s="96" customFormat="1" ht="13.8" x14ac:dyDescent="0.3">
      <c r="G286" s="87"/>
      <c r="H286" s="182"/>
      <c r="I286" s="87"/>
      <c r="J286" s="87"/>
      <c r="K286" s="87"/>
      <c r="L286" s="87"/>
      <c r="M286" s="87"/>
      <c r="N286" s="87"/>
      <c r="O286" s="182"/>
      <c r="P286" s="191"/>
      <c r="Q286" s="182"/>
    </row>
    <row r="287" spans="7:17" s="96" customFormat="1" ht="13.8" x14ac:dyDescent="0.3">
      <c r="G287" s="87"/>
      <c r="H287" s="182"/>
      <c r="I287" s="87"/>
      <c r="J287" s="87"/>
      <c r="K287" s="87"/>
      <c r="L287" s="87"/>
      <c r="M287" s="87"/>
      <c r="N287" s="87"/>
      <c r="O287" s="182"/>
      <c r="P287" s="191"/>
      <c r="Q287" s="182"/>
    </row>
    <row r="288" spans="7:17" s="96" customFormat="1" ht="13.8" x14ac:dyDescent="0.3">
      <c r="G288" s="87"/>
      <c r="H288" s="182"/>
      <c r="I288" s="87"/>
      <c r="J288" s="87"/>
      <c r="K288" s="87"/>
      <c r="L288" s="87"/>
      <c r="M288" s="87"/>
      <c r="N288" s="87"/>
      <c r="O288" s="182"/>
      <c r="P288" s="191"/>
      <c r="Q288" s="182"/>
    </row>
    <row r="289" spans="7:17" s="96" customFormat="1" ht="13.8" x14ac:dyDescent="0.3">
      <c r="G289" s="87"/>
      <c r="H289" s="182"/>
      <c r="I289" s="87"/>
      <c r="J289" s="87"/>
      <c r="K289" s="87"/>
      <c r="L289" s="87"/>
      <c r="M289" s="87"/>
      <c r="N289" s="87"/>
      <c r="O289" s="182"/>
      <c r="P289" s="191"/>
      <c r="Q289" s="182"/>
    </row>
    <row r="290" spans="7:17" s="96" customFormat="1" ht="13.8" x14ac:dyDescent="0.3">
      <c r="G290" s="87"/>
      <c r="H290" s="182"/>
      <c r="I290" s="87"/>
      <c r="J290" s="87"/>
      <c r="K290" s="87"/>
      <c r="L290" s="87"/>
      <c r="M290" s="87"/>
      <c r="N290" s="87"/>
      <c r="O290" s="182"/>
      <c r="P290" s="191"/>
      <c r="Q290" s="182"/>
    </row>
    <row r="291" spans="7:17" s="96" customFormat="1" ht="13.8" x14ac:dyDescent="0.3">
      <c r="G291" s="87"/>
      <c r="H291" s="182"/>
      <c r="I291" s="87"/>
      <c r="J291" s="87"/>
      <c r="K291" s="87"/>
      <c r="L291" s="87"/>
      <c r="M291" s="87"/>
      <c r="N291" s="87"/>
      <c r="O291" s="182"/>
      <c r="P291" s="191"/>
      <c r="Q291" s="182"/>
    </row>
    <row r="292" spans="7:17" s="96" customFormat="1" ht="13.8" x14ac:dyDescent="0.3">
      <c r="G292" s="87"/>
      <c r="H292" s="182"/>
      <c r="I292" s="87"/>
      <c r="J292" s="87"/>
      <c r="K292" s="87"/>
      <c r="L292" s="87"/>
      <c r="M292" s="87"/>
      <c r="N292" s="87"/>
      <c r="O292" s="182"/>
      <c r="P292" s="191"/>
      <c r="Q292" s="182"/>
    </row>
    <row r="293" spans="7:17" s="96" customFormat="1" ht="13.8" x14ac:dyDescent="0.3">
      <c r="G293" s="87"/>
      <c r="H293" s="182"/>
      <c r="I293" s="87"/>
      <c r="J293" s="87"/>
      <c r="K293" s="87"/>
      <c r="L293" s="87"/>
      <c r="M293" s="87"/>
      <c r="N293" s="87"/>
      <c r="O293" s="182"/>
      <c r="P293" s="191"/>
      <c r="Q293" s="182"/>
    </row>
    <row r="294" spans="7:17" s="96" customFormat="1" ht="13.8" x14ac:dyDescent="0.3">
      <c r="G294" s="87"/>
      <c r="H294" s="182"/>
      <c r="I294" s="87"/>
      <c r="J294" s="87"/>
      <c r="K294" s="87"/>
      <c r="L294" s="87"/>
      <c r="M294" s="87"/>
      <c r="N294" s="87"/>
      <c r="O294" s="182"/>
      <c r="P294" s="191"/>
      <c r="Q294" s="182"/>
    </row>
    <row r="295" spans="7:17" s="96" customFormat="1" ht="13.8" x14ac:dyDescent="0.3">
      <c r="G295" s="87"/>
      <c r="H295" s="182"/>
      <c r="I295" s="87"/>
      <c r="J295" s="87"/>
      <c r="K295" s="87"/>
      <c r="L295" s="87"/>
      <c r="M295" s="87"/>
      <c r="N295" s="87"/>
      <c r="O295" s="182"/>
      <c r="P295" s="191"/>
      <c r="Q295" s="182"/>
    </row>
    <row r="296" spans="7:17" s="96" customFormat="1" ht="13.8" x14ac:dyDescent="0.3">
      <c r="G296" s="87"/>
      <c r="H296" s="182"/>
      <c r="I296" s="87"/>
      <c r="J296" s="87"/>
      <c r="K296" s="87"/>
      <c r="L296" s="87"/>
      <c r="M296" s="87"/>
      <c r="N296" s="87"/>
      <c r="O296" s="182"/>
      <c r="P296" s="191"/>
      <c r="Q296" s="182"/>
    </row>
    <row r="297" spans="7:17" s="96" customFormat="1" ht="13.8" x14ac:dyDescent="0.3">
      <c r="G297" s="87"/>
      <c r="H297" s="182"/>
      <c r="I297" s="87"/>
      <c r="J297" s="87"/>
      <c r="K297" s="87"/>
      <c r="L297" s="87"/>
      <c r="M297" s="87"/>
      <c r="N297" s="87"/>
      <c r="O297" s="182"/>
      <c r="P297" s="191"/>
      <c r="Q297" s="182"/>
    </row>
    <row r="298" spans="7:17" s="96" customFormat="1" ht="13.8" x14ac:dyDescent="0.3">
      <c r="G298" s="87"/>
      <c r="H298" s="182"/>
      <c r="I298" s="87"/>
      <c r="J298" s="87"/>
      <c r="K298" s="87"/>
      <c r="L298" s="87"/>
      <c r="M298" s="87"/>
      <c r="N298" s="87"/>
      <c r="O298" s="182"/>
      <c r="P298" s="191"/>
      <c r="Q298" s="182"/>
    </row>
    <row r="299" spans="7:17" s="96" customFormat="1" ht="13.8" x14ac:dyDescent="0.3">
      <c r="G299" s="87"/>
      <c r="H299" s="182"/>
      <c r="I299" s="87"/>
      <c r="J299" s="87"/>
      <c r="K299" s="87"/>
      <c r="L299" s="87"/>
      <c r="M299" s="87"/>
      <c r="N299" s="87"/>
      <c r="O299" s="182"/>
      <c r="P299" s="191"/>
      <c r="Q299" s="182"/>
    </row>
    <row r="300" spans="7:17" s="96" customFormat="1" ht="13.8" x14ac:dyDescent="0.3">
      <c r="G300" s="87"/>
      <c r="H300" s="182"/>
      <c r="I300" s="87"/>
      <c r="J300" s="87"/>
      <c r="K300" s="87"/>
      <c r="L300" s="87"/>
      <c r="M300" s="87"/>
      <c r="N300" s="87"/>
      <c r="O300" s="182"/>
      <c r="P300" s="191"/>
      <c r="Q300" s="182"/>
    </row>
    <row r="301" spans="7:17" s="96" customFormat="1" ht="13.8" x14ac:dyDescent="0.3">
      <c r="G301" s="87"/>
      <c r="H301" s="182"/>
      <c r="I301" s="87"/>
      <c r="J301" s="87"/>
      <c r="K301" s="87"/>
      <c r="L301" s="87"/>
      <c r="M301" s="87"/>
      <c r="N301" s="87"/>
      <c r="O301" s="182"/>
      <c r="P301" s="191"/>
      <c r="Q301" s="182"/>
    </row>
    <row r="302" spans="7:17" s="96" customFormat="1" ht="13.8" x14ac:dyDescent="0.3">
      <c r="G302" s="87"/>
      <c r="H302" s="182"/>
      <c r="I302" s="87"/>
      <c r="J302" s="87"/>
      <c r="K302" s="87"/>
      <c r="L302" s="87"/>
      <c r="M302" s="87"/>
      <c r="N302" s="87"/>
      <c r="O302" s="182"/>
      <c r="P302" s="191"/>
      <c r="Q302" s="182"/>
    </row>
    <row r="303" spans="7:17" s="96" customFormat="1" ht="13.8" x14ac:dyDescent="0.3">
      <c r="G303" s="87"/>
      <c r="H303" s="182"/>
      <c r="I303" s="87"/>
      <c r="J303" s="87"/>
      <c r="K303" s="87"/>
      <c r="L303" s="87"/>
      <c r="M303" s="87"/>
      <c r="N303" s="87"/>
      <c r="O303" s="182"/>
      <c r="P303" s="191"/>
      <c r="Q303" s="182"/>
    </row>
    <row r="304" spans="7:17" s="96" customFormat="1" ht="13.8" x14ac:dyDescent="0.3">
      <c r="G304" s="87"/>
      <c r="H304" s="182"/>
      <c r="I304" s="87"/>
      <c r="J304" s="87"/>
      <c r="K304" s="87"/>
      <c r="L304" s="87"/>
      <c r="M304" s="87"/>
      <c r="N304" s="87"/>
      <c r="O304" s="182"/>
      <c r="P304" s="191"/>
      <c r="Q304" s="182"/>
    </row>
    <row r="305" spans="7:17" s="96" customFormat="1" ht="13.8" x14ac:dyDescent="0.3">
      <c r="G305" s="87"/>
      <c r="H305" s="182"/>
      <c r="I305" s="87"/>
      <c r="J305" s="87"/>
      <c r="K305" s="87"/>
      <c r="L305" s="87"/>
      <c r="M305" s="87"/>
      <c r="N305" s="87"/>
      <c r="O305" s="182"/>
      <c r="P305" s="191"/>
      <c r="Q305" s="182"/>
    </row>
    <row r="306" spans="7:17" s="96" customFormat="1" ht="13.8" x14ac:dyDescent="0.3">
      <c r="G306" s="87"/>
      <c r="H306" s="182"/>
      <c r="I306" s="87"/>
      <c r="J306" s="87"/>
      <c r="K306" s="87"/>
      <c r="L306" s="87"/>
      <c r="M306" s="87"/>
      <c r="N306" s="87"/>
      <c r="O306" s="182"/>
      <c r="P306" s="191"/>
      <c r="Q306" s="182"/>
    </row>
    <row r="307" spans="7:17" s="96" customFormat="1" ht="13.8" x14ac:dyDescent="0.3">
      <c r="G307" s="87"/>
      <c r="H307" s="182"/>
      <c r="I307" s="87"/>
      <c r="J307" s="87"/>
      <c r="K307" s="87"/>
      <c r="L307" s="87"/>
      <c r="M307" s="87"/>
      <c r="N307" s="87"/>
      <c r="O307" s="182"/>
      <c r="P307" s="191"/>
      <c r="Q307" s="182"/>
    </row>
    <row r="308" spans="7:17" s="96" customFormat="1" ht="13.8" x14ac:dyDescent="0.3">
      <c r="G308" s="87"/>
      <c r="H308" s="182"/>
      <c r="I308" s="87"/>
      <c r="J308" s="87"/>
      <c r="K308" s="87"/>
      <c r="L308" s="87"/>
      <c r="M308" s="87"/>
      <c r="N308" s="87"/>
      <c r="O308" s="182"/>
      <c r="P308" s="191"/>
      <c r="Q308" s="182"/>
    </row>
    <row r="309" spans="7:17" s="96" customFormat="1" ht="13.8" x14ac:dyDescent="0.3">
      <c r="G309" s="87"/>
      <c r="H309" s="182"/>
      <c r="I309" s="87"/>
      <c r="J309" s="87"/>
      <c r="K309" s="87"/>
      <c r="L309" s="87"/>
      <c r="M309" s="87"/>
      <c r="N309" s="87"/>
      <c r="O309" s="182"/>
      <c r="P309" s="191"/>
      <c r="Q309" s="182"/>
    </row>
    <row r="310" spans="7:17" s="96" customFormat="1" ht="13.8" x14ac:dyDescent="0.3">
      <c r="G310" s="87"/>
      <c r="H310" s="182"/>
      <c r="I310" s="87"/>
      <c r="J310" s="87"/>
      <c r="K310" s="87"/>
      <c r="L310" s="87"/>
      <c r="M310" s="87"/>
      <c r="N310" s="87"/>
      <c r="O310" s="182"/>
      <c r="P310" s="191"/>
      <c r="Q310" s="182"/>
    </row>
    <row r="311" spans="7:17" s="96" customFormat="1" ht="13.8" x14ac:dyDescent="0.3">
      <c r="G311" s="87"/>
      <c r="H311" s="182"/>
      <c r="I311" s="87"/>
      <c r="J311" s="87"/>
      <c r="K311" s="87"/>
      <c r="L311" s="87"/>
      <c r="M311" s="87"/>
      <c r="N311" s="87"/>
      <c r="O311" s="182"/>
      <c r="P311" s="191"/>
      <c r="Q311" s="182"/>
    </row>
    <row r="312" spans="7:17" s="96" customFormat="1" ht="13.8" x14ac:dyDescent="0.3">
      <c r="G312" s="87"/>
      <c r="H312" s="182"/>
      <c r="I312" s="87"/>
      <c r="J312" s="87"/>
      <c r="K312" s="87"/>
      <c r="L312" s="87"/>
      <c r="M312" s="87"/>
      <c r="N312" s="87"/>
      <c r="O312" s="182"/>
      <c r="P312" s="191"/>
      <c r="Q312" s="182"/>
    </row>
    <row r="313" spans="7:17" s="96" customFormat="1" ht="13.8" x14ac:dyDescent="0.3">
      <c r="G313" s="87"/>
      <c r="H313" s="182"/>
      <c r="I313" s="87"/>
      <c r="J313" s="87"/>
      <c r="K313" s="87"/>
      <c r="L313" s="87"/>
      <c r="M313" s="87"/>
      <c r="N313" s="87"/>
      <c r="O313" s="182"/>
      <c r="P313" s="191"/>
      <c r="Q313" s="182"/>
    </row>
    <row r="314" spans="7:17" s="96" customFormat="1" ht="13.8" x14ac:dyDescent="0.3">
      <c r="G314" s="87"/>
      <c r="H314" s="182"/>
      <c r="I314" s="87"/>
      <c r="J314" s="87"/>
      <c r="K314" s="87"/>
      <c r="L314" s="87"/>
      <c r="M314" s="87"/>
      <c r="N314" s="87"/>
      <c r="O314" s="182"/>
      <c r="P314" s="191"/>
      <c r="Q314" s="182"/>
    </row>
    <row r="315" spans="7:17" s="96" customFormat="1" ht="13.8" x14ac:dyDescent="0.3">
      <c r="G315" s="87"/>
      <c r="H315" s="182"/>
      <c r="I315" s="87"/>
      <c r="J315" s="87"/>
      <c r="K315" s="87"/>
      <c r="L315" s="87"/>
      <c r="M315" s="87"/>
      <c r="N315" s="87"/>
      <c r="O315" s="182"/>
      <c r="P315" s="191"/>
      <c r="Q315" s="182"/>
    </row>
    <row r="316" spans="7:17" s="96" customFormat="1" ht="13.8" x14ac:dyDescent="0.3">
      <c r="G316" s="87"/>
      <c r="H316" s="182"/>
      <c r="I316" s="87"/>
      <c r="J316" s="87"/>
      <c r="K316" s="87"/>
      <c r="L316" s="87"/>
      <c r="M316" s="87"/>
      <c r="N316" s="87"/>
      <c r="O316" s="182"/>
      <c r="P316" s="191"/>
      <c r="Q316" s="182"/>
    </row>
    <row r="317" spans="7:17" s="96" customFormat="1" ht="13.8" x14ac:dyDescent="0.3">
      <c r="G317" s="87"/>
      <c r="H317" s="182"/>
      <c r="I317" s="87"/>
      <c r="J317" s="87"/>
      <c r="K317" s="87"/>
      <c r="L317" s="87"/>
      <c r="M317" s="87"/>
      <c r="N317" s="87"/>
      <c r="O317" s="182"/>
      <c r="P317" s="191"/>
      <c r="Q317" s="182"/>
    </row>
    <row r="318" spans="7:17" s="96" customFormat="1" ht="13.8" x14ac:dyDescent="0.3">
      <c r="G318" s="87"/>
      <c r="H318" s="182"/>
      <c r="I318" s="87"/>
      <c r="J318" s="87"/>
      <c r="K318" s="87"/>
      <c r="L318" s="87"/>
      <c r="M318" s="87"/>
      <c r="N318" s="87"/>
      <c r="O318" s="182"/>
      <c r="P318" s="191"/>
      <c r="Q318" s="182"/>
    </row>
    <row r="319" spans="7:17" s="96" customFormat="1" ht="13.8" x14ac:dyDescent="0.3">
      <c r="G319" s="87"/>
      <c r="H319" s="182"/>
      <c r="I319" s="87"/>
      <c r="J319" s="87"/>
      <c r="K319" s="87"/>
      <c r="L319" s="87"/>
      <c r="M319" s="87"/>
      <c r="N319" s="87"/>
      <c r="O319" s="182"/>
      <c r="P319" s="191"/>
      <c r="Q319" s="182"/>
    </row>
    <row r="320" spans="7:17" s="96" customFormat="1" ht="13.8" x14ac:dyDescent="0.3">
      <c r="G320" s="87"/>
      <c r="H320" s="182"/>
      <c r="I320" s="87"/>
      <c r="J320" s="87"/>
      <c r="K320" s="87"/>
      <c r="L320" s="87"/>
      <c r="M320" s="87"/>
      <c r="N320" s="87"/>
      <c r="O320" s="182"/>
      <c r="P320" s="191"/>
      <c r="Q320" s="182"/>
    </row>
    <row r="321" spans="7:17" s="96" customFormat="1" ht="13.8" x14ac:dyDescent="0.3">
      <c r="G321" s="87"/>
      <c r="H321" s="182"/>
      <c r="I321" s="87"/>
      <c r="J321" s="87"/>
      <c r="K321" s="87"/>
      <c r="L321" s="87"/>
      <c r="M321" s="87"/>
      <c r="N321" s="87"/>
      <c r="O321" s="182"/>
      <c r="P321" s="191"/>
      <c r="Q321" s="182"/>
    </row>
    <row r="322" spans="7:17" s="96" customFormat="1" ht="13.8" x14ac:dyDescent="0.3">
      <c r="G322" s="87"/>
      <c r="H322" s="182"/>
      <c r="I322" s="87"/>
      <c r="J322" s="87"/>
      <c r="K322" s="87"/>
      <c r="L322" s="87"/>
      <c r="M322" s="87"/>
      <c r="N322" s="87"/>
      <c r="O322" s="182"/>
      <c r="P322" s="191"/>
      <c r="Q322" s="182"/>
    </row>
    <row r="323" spans="7:17" s="96" customFormat="1" ht="13.8" x14ac:dyDescent="0.3">
      <c r="G323" s="87"/>
      <c r="H323" s="182"/>
      <c r="I323" s="87"/>
      <c r="J323" s="87"/>
      <c r="K323" s="87"/>
      <c r="L323" s="87"/>
      <c r="M323" s="87"/>
      <c r="N323" s="87"/>
      <c r="O323" s="182"/>
      <c r="P323" s="191"/>
      <c r="Q323" s="182"/>
    </row>
    <row r="324" spans="7:17" s="96" customFormat="1" ht="13.8" x14ac:dyDescent="0.3">
      <c r="G324" s="87"/>
      <c r="H324" s="182"/>
      <c r="I324" s="87"/>
      <c r="J324" s="87"/>
      <c r="K324" s="87"/>
      <c r="L324" s="87"/>
      <c r="M324" s="87"/>
      <c r="N324" s="87"/>
      <c r="O324" s="182"/>
      <c r="P324" s="191"/>
      <c r="Q324" s="182"/>
    </row>
    <row r="325" spans="7:17" s="96" customFormat="1" ht="13.8" x14ac:dyDescent="0.3">
      <c r="G325" s="87"/>
      <c r="H325" s="182"/>
      <c r="I325" s="87"/>
      <c r="J325" s="87"/>
      <c r="K325" s="87"/>
      <c r="L325" s="87"/>
      <c r="M325" s="87"/>
      <c r="N325" s="87"/>
      <c r="O325" s="182"/>
      <c r="P325" s="191"/>
      <c r="Q325" s="182"/>
    </row>
    <row r="326" spans="7:17" s="96" customFormat="1" ht="13.8" x14ac:dyDescent="0.3">
      <c r="G326" s="87"/>
      <c r="H326" s="182"/>
      <c r="I326" s="87"/>
      <c r="J326" s="87"/>
      <c r="K326" s="87"/>
      <c r="L326" s="87"/>
      <c r="M326" s="87"/>
      <c r="N326" s="87"/>
      <c r="O326" s="182"/>
      <c r="P326" s="191"/>
      <c r="Q326" s="182"/>
    </row>
    <row r="327" spans="7:17" s="96" customFormat="1" ht="13.8" x14ac:dyDescent="0.3">
      <c r="G327" s="87"/>
      <c r="H327" s="182"/>
      <c r="I327" s="87"/>
      <c r="J327" s="87"/>
      <c r="K327" s="87"/>
      <c r="L327" s="87"/>
      <c r="M327" s="87"/>
      <c r="N327" s="87"/>
      <c r="O327" s="182"/>
      <c r="P327" s="191"/>
      <c r="Q327" s="182"/>
    </row>
    <row r="328" spans="7:17" s="96" customFormat="1" ht="13.8" x14ac:dyDescent="0.3">
      <c r="G328" s="87"/>
      <c r="H328" s="182"/>
      <c r="I328" s="87"/>
      <c r="J328" s="87"/>
      <c r="K328" s="87"/>
      <c r="L328" s="87"/>
      <c r="M328" s="87"/>
      <c r="N328" s="87"/>
      <c r="O328" s="182"/>
      <c r="P328" s="191"/>
      <c r="Q328" s="182"/>
    </row>
    <row r="329" spans="7:17" s="96" customFormat="1" ht="13.8" x14ac:dyDescent="0.3">
      <c r="G329" s="87"/>
      <c r="H329" s="182"/>
      <c r="I329" s="87"/>
      <c r="J329" s="87"/>
      <c r="K329" s="87"/>
      <c r="L329" s="87"/>
      <c r="M329" s="87"/>
      <c r="N329" s="87"/>
      <c r="O329" s="182"/>
      <c r="P329" s="191"/>
      <c r="Q329" s="182"/>
    </row>
    <row r="330" spans="7:17" s="96" customFormat="1" ht="13.8" x14ac:dyDescent="0.3">
      <c r="G330" s="87"/>
      <c r="H330" s="182"/>
      <c r="I330" s="87"/>
      <c r="J330" s="87"/>
      <c r="K330" s="87"/>
      <c r="L330" s="87"/>
      <c r="M330" s="87"/>
      <c r="N330" s="87"/>
      <c r="O330" s="182"/>
      <c r="P330" s="191"/>
      <c r="Q330" s="182"/>
    </row>
    <row r="331" spans="7:17" s="96" customFormat="1" ht="13.8" x14ac:dyDescent="0.3">
      <c r="G331" s="87"/>
      <c r="H331" s="182"/>
      <c r="I331" s="87"/>
      <c r="J331" s="87"/>
      <c r="K331" s="87"/>
      <c r="L331" s="87"/>
      <c r="M331" s="87"/>
      <c r="N331" s="87"/>
      <c r="O331" s="182"/>
      <c r="P331" s="191"/>
      <c r="Q331" s="182"/>
    </row>
    <row r="332" spans="7:17" s="96" customFormat="1" ht="13.8" x14ac:dyDescent="0.3">
      <c r="G332" s="87"/>
      <c r="H332" s="182"/>
      <c r="I332" s="87"/>
      <c r="J332" s="87"/>
      <c r="K332" s="87"/>
      <c r="L332" s="87"/>
      <c r="M332" s="87"/>
      <c r="N332" s="87"/>
      <c r="O332" s="182"/>
      <c r="P332" s="191"/>
      <c r="Q332" s="182"/>
    </row>
    <row r="333" spans="7:17" s="96" customFormat="1" ht="13.8" x14ac:dyDescent="0.3">
      <c r="G333" s="87"/>
      <c r="H333" s="182"/>
      <c r="I333" s="87"/>
      <c r="J333" s="87"/>
      <c r="K333" s="87"/>
      <c r="L333" s="87"/>
      <c r="M333" s="87"/>
      <c r="N333" s="87"/>
      <c r="O333" s="182"/>
      <c r="P333" s="191"/>
      <c r="Q333" s="182"/>
    </row>
    <row r="334" spans="7:17" s="96" customFormat="1" ht="13.8" x14ac:dyDescent="0.3">
      <c r="G334" s="87"/>
      <c r="H334" s="182"/>
      <c r="I334" s="87"/>
      <c r="J334" s="87"/>
      <c r="K334" s="87"/>
      <c r="L334" s="87"/>
      <c r="M334" s="87"/>
      <c r="N334" s="87"/>
      <c r="O334" s="182"/>
      <c r="P334" s="191"/>
      <c r="Q334" s="182"/>
    </row>
    <row r="335" spans="7:17" s="96" customFormat="1" ht="13.8" x14ac:dyDescent="0.3">
      <c r="G335" s="87"/>
      <c r="H335" s="182"/>
      <c r="I335" s="87"/>
      <c r="J335" s="87"/>
      <c r="K335" s="87"/>
      <c r="L335" s="87"/>
      <c r="M335" s="87"/>
      <c r="N335" s="87"/>
      <c r="O335" s="182"/>
      <c r="P335" s="191"/>
      <c r="Q335" s="182"/>
    </row>
    <row r="336" spans="7:17" s="96" customFormat="1" ht="13.8" x14ac:dyDescent="0.3">
      <c r="G336" s="87"/>
      <c r="H336" s="182"/>
      <c r="I336" s="87"/>
      <c r="J336" s="87"/>
      <c r="K336" s="87"/>
      <c r="L336" s="87"/>
      <c r="M336" s="87"/>
      <c r="N336" s="87"/>
      <c r="O336" s="182"/>
      <c r="P336" s="191"/>
      <c r="Q336" s="182"/>
    </row>
    <row r="337" spans="7:17" s="96" customFormat="1" ht="13.8" x14ac:dyDescent="0.3">
      <c r="G337" s="87"/>
      <c r="H337" s="182"/>
      <c r="I337" s="87"/>
      <c r="J337" s="87"/>
      <c r="K337" s="87"/>
      <c r="L337" s="87"/>
      <c r="M337" s="87"/>
      <c r="N337" s="87"/>
      <c r="O337" s="182"/>
      <c r="P337" s="191"/>
      <c r="Q337" s="182"/>
    </row>
    <row r="338" spans="7:17" s="96" customFormat="1" ht="13.8" x14ac:dyDescent="0.3">
      <c r="G338" s="87"/>
      <c r="H338" s="182"/>
      <c r="I338" s="87"/>
      <c r="J338" s="87"/>
      <c r="K338" s="87"/>
      <c r="L338" s="87"/>
      <c r="M338" s="87"/>
      <c r="N338" s="87"/>
      <c r="O338" s="182"/>
      <c r="P338" s="191"/>
      <c r="Q338" s="182"/>
    </row>
    <row r="339" spans="7:17" s="96" customFormat="1" ht="13.8" x14ac:dyDescent="0.3">
      <c r="G339" s="87"/>
      <c r="H339" s="182"/>
      <c r="I339" s="87"/>
      <c r="J339" s="87"/>
      <c r="K339" s="87"/>
      <c r="L339" s="87"/>
      <c r="M339" s="87"/>
      <c r="N339" s="87"/>
      <c r="O339" s="182"/>
      <c r="P339" s="191"/>
      <c r="Q339" s="182"/>
    </row>
    <row r="340" spans="7:17" s="96" customFormat="1" ht="13.8" x14ac:dyDescent="0.3">
      <c r="G340" s="87"/>
      <c r="H340" s="182"/>
      <c r="I340" s="87"/>
      <c r="J340" s="87"/>
      <c r="K340" s="87"/>
      <c r="L340" s="87"/>
      <c r="M340" s="87"/>
      <c r="N340" s="87"/>
      <c r="O340" s="182"/>
      <c r="P340" s="191"/>
      <c r="Q340" s="182"/>
    </row>
    <row r="341" spans="7:17" s="96" customFormat="1" ht="13.8" x14ac:dyDescent="0.3">
      <c r="G341" s="87"/>
      <c r="H341" s="182"/>
      <c r="I341" s="87"/>
      <c r="J341" s="87"/>
      <c r="K341" s="87"/>
      <c r="L341" s="87"/>
      <c r="M341" s="87"/>
      <c r="N341" s="87"/>
      <c r="O341" s="182"/>
      <c r="P341" s="191"/>
      <c r="Q341" s="182"/>
    </row>
    <row r="342" spans="7:17" s="96" customFormat="1" ht="13.8" x14ac:dyDescent="0.3">
      <c r="G342" s="87"/>
      <c r="H342" s="182"/>
      <c r="I342" s="87"/>
      <c r="J342" s="87"/>
      <c r="K342" s="87"/>
      <c r="L342" s="87"/>
      <c r="M342" s="87"/>
      <c r="N342" s="87"/>
      <c r="O342" s="182"/>
      <c r="P342" s="191"/>
      <c r="Q342" s="182"/>
    </row>
    <row r="343" spans="7:17" s="96" customFormat="1" ht="13.8" x14ac:dyDescent="0.3">
      <c r="G343" s="87"/>
      <c r="H343" s="182"/>
      <c r="I343" s="87"/>
      <c r="J343" s="87"/>
      <c r="K343" s="87"/>
      <c r="L343" s="87"/>
      <c r="M343" s="87"/>
      <c r="N343" s="87"/>
      <c r="O343" s="182"/>
      <c r="P343" s="191"/>
      <c r="Q343" s="182"/>
    </row>
    <row r="344" spans="7:17" s="96" customFormat="1" ht="13.8" x14ac:dyDescent="0.3">
      <c r="G344" s="87"/>
      <c r="H344" s="182"/>
      <c r="I344" s="87"/>
      <c r="J344" s="87"/>
      <c r="K344" s="87"/>
      <c r="L344" s="87"/>
      <c r="M344" s="87"/>
      <c r="N344" s="87"/>
      <c r="O344" s="182"/>
      <c r="P344" s="191"/>
      <c r="Q344" s="182"/>
    </row>
    <row r="345" spans="7:17" s="96" customFormat="1" ht="13.8" x14ac:dyDescent="0.3">
      <c r="G345" s="87"/>
      <c r="H345" s="182"/>
      <c r="I345" s="87"/>
      <c r="J345" s="87"/>
      <c r="K345" s="87"/>
      <c r="L345" s="87"/>
      <c r="M345" s="87"/>
      <c r="N345" s="87"/>
      <c r="O345" s="182"/>
      <c r="P345" s="191"/>
      <c r="Q345" s="182"/>
    </row>
    <row r="346" spans="7:17" s="96" customFormat="1" ht="13.8" x14ac:dyDescent="0.3">
      <c r="G346" s="87"/>
      <c r="H346" s="182"/>
      <c r="I346" s="87"/>
      <c r="J346" s="87"/>
      <c r="K346" s="87"/>
      <c r="L346" s="87"/>
      <c r="M346" s="87"/>
      <c r="N346" s="87"/>
      <c r="O346" s="182"/>
      <c r="P346" s="191"/>
      <c r="Q346" s="182"/>
    </row>
    <row r="347" spans="7:17" s="96" customFormat="1" ht="13.8" x14ac:dyDescent="0.3">
      <c r="G347" s="87"/>
      <c r="H347" s="182"/>
      <c r="I347" s="87"/>
      <c r="J347" s="87"/>
      <c r="K347" s="87"/>
      <c r="L347" s="87"/>
      <c r="M347" s="87"/>
      <c r="N347" s="87"/>
      <c r="O347" s="182"/>
      <c r="P347" s="191"/>
      <c r="Q347" s="182"/>
    </row>
    <row r="348" spans="7:17" s="96" customFormat="1" ht="13.8" x14ac:dyDescent="0.3">
      <c r="G348" s="87"/>
      <c r="H348" s="182"/>
      <c r="I348" s="87"/>
      <c r="J348" s="87"/>
      <c r="K348" s="87"/>
      <c r="L348" s="87"/>
      <c r="M348" s="87"/>
      <c r="N348" s="87"/>
      <c r="O348" s="182"/>
      <c r="P348" s="191"/>
      <c r="Q348" s="182"/>
    </row>
    <row r="349" spans="7:17" s="96" customFormat="1" ht="13.8" x14ac:dyDescent="0.3">
      <c r="G349" s="87"/>
      <c r="H349" s="182"/>
      <c r="I349" s="87"/>
      <c r="J349" s="87"/>
      <c r="K349" s="87"/>
      <c r="L349" s="87"/>
      <c r="M349" s="87"/>
      <c r="N349" s="87"/>
      <c r="O349" s="182"/>
      <c r="P349" s="191"/>
      <c r="Q349" s="182"/>
    </row>
    <row r="350" spans="7:17" s="96" customFormat="1" ht="13.8" x14ac:dyDescent="0.3">
      <c r="G350" s="87"/>
      <c r="H350" s="182"/>
      <c r="I350" s="87"/>
      <c r="J350" s="87"/>
      <c r="K350" s="87"/>
      <c r="L350" s="87"/>
      <c r="M350" s="87"/>
      <c r="N350" s="87"/>
      <c r="O350" s="182"/>
      <c r="P350" s="191"/>
      <c r="Q350" s="182"/>
    </row>
    <row r="351" spans="7:17" s="96" customFormat="1" ht="13.8" x14ac:dyDescent="0.3">
      <c r="G351" s="87"/>
      <c r="H351" s="182"/>
      <c r="I351" s="87"/>
      <c r="J351" s="87"/>
      <c r="K351" s="87"/>
      <c r="L351" s="87"/>
      <c r="M351" s="87"/>
      <c r="N351" s="87"/>
      <c r="O351" s="182"/>
      <c r="P351" s="191"/>
      <c r="Q351" s="182"/>
    </row>
    <row r="352" spans="7:17" s="96" customFormat="1" ht="13.8" x14ac:dyDescent="0.3">
      <c r="G352" s="87"/>
      <c r="H352" s="182"/>
      <c r="I352" s="87"/>
      <c r="J352" s="87"/>
      <c r="K352" s="87"/>
      <c r="L352" s="87"/>
      <c r="M352" s="87"/>
      <c r="N352" s="87"/>
      <c r="O352" s="182"/>
      <c r="P352" s="191"/>
      <c r="Q352" s="182"/>
    </row>
    <row r="353" spans="7:17" s="96" customFormat="1" ht="13.8" x14ac:dyDescent="0.3">
      <c r="G353" s="87"/>
      <c r="H353" s="182"/>
      <c r="I353" s="87"/>
      <c r="J353" s="87"/>
      <c r="K353" s="87"/>
      <c r="L353" s="87"/>
      <c r="M353" s="87"/>
      <c r="N353" s="87"/>
      <c r="O353" s="182"/>
      <c r="P353" s="191"/>
      <c r="Q353" s="182"/>
    </row>
    <row r="354" spans="7:17" s="96" customFormat="1" ht="13.8" x14ac:dyDescent="0.3">
      <c r="G354" s="87"/>
      <c r="H354" s="182"/>
      <c r="I354" s="87"/>
      <c r="J354" s="87"/>
      <c r="K354" s="87"/>
      <c r="L354" s="87"/>
      <c r="M354" s="87"/>
      <c r="N354" s="87"/>
      <c r="O354" s="182"/>
      <c r="P354" s="191"/>
      <c r="Q354" s="182"/>
    </row>
    <row r="355" spans="7:17" s="96" customFormat="1" ht="13.8" x14ac:dyDescent="0.3">
      <c r="G355" s="87"/>
      <c r="H355" s="182"/>
      <c r="I355" s="87"/>
      <c r="J355" s="87"/>
      <c r="K355" s="87"/>
      <c r="L355" s="87"/>
      <c r="M355" s="87"/>
      <c r="N355" s="87"/>
      <c r="O355" s="182"/>
      <c r="P355" s="191"/>
      <c r="Q355" s="182"/>
    </row>
    <row r="356" spans="7:17" s="96" customFormat="1" ht="13.8" x14ac:dyDescent="0.3">
      <c r="G356" s="87"/>
      <c r="H356" s="182"/>
      <c r="I356" s="87"/>
      <c r="J356" s="87"/>
      <c r="K356" s="87"/>
      <c r="L356" s="87"/>
      <c r="M356" s="87"/>
      <c r="N356" s="87"/>
      <c r="O356" s="182"/>
      <c r="P356" s="191"/>
      <c r="Q356" s="182"/>
    </row>
    <row r="357" spans="7:17" s="96" customFormat="1" ht="13.8" x14ac:dyDescent="0.3">
      <c r="G357" s="87"/>
      <c r="H357" s="182"/>
      <c r="I357" s="87"/>
      <c r="J357" s="87"/>
      <c r="K357" s="87"/>
      <c r="L357" s="87"/>
      <c r="M357" s="87"/>
      <c r="N357" s="87"/>
      <c r="O357" s="182"/>
      <c r="P357" s="191"/>
      <c r="Q357" s="182"/>
    </row>
    <row r="358" spans="7:17" s="96" customFormat="1" ht="13.8" x14ac:dyDescent="0.3">
      <c r="G358" s="87"/>
      <c r="H358" s="182"/>
      <c r="I358" s="87"/>
      <c r="J358" s="87"/>
      <c r="K358" s="87"/>
      <c r="L358" s="87"/>
      <c r="M358" s="87"/>
      <c r="N358" s="87"/>
      <c r="O358" s="182"/>
      <c r="P358" s="191"/>
      <c r="Q358" s="182"/>
    </row>
    <row r="359" spans="7:17" s="96" customFormat="1" ht="13.8" x14ac:dyDescent="0.3">
      <c r="G359" s="87"/>
      <c r="H359" s="182"/>
      <c r="I359" s="87"/>
      <c r="J359" s="87"/>
      <c r="K359" s="87"/>
      <c r="L359" s="87"/>
      <c r="M359" s="87"/>
      <c r="N359" s="87"/>
      <c r="O359" s="182"/>
      <c r="P359" s="191"/>
      <c r="Q359" s="182"/>
    </row>
    <row r="360" spans="7:17" s="96" customFormat="1" ht="13.8" x14ac:dyDescent="0.3">
      <c r="G360" s="87"/>
      <c r="H360" s="182"/>
      <c r="I360" s="87"/>
      <c r="J360" s="87"/>
      <c r="K360" s="87"/>
      <c r="L360" s="87"/>
      <c r="M360" s="87"/>
      <c r="N360" s="87"/>
      <c r="O360" s="182"/>
      <c r="P360" s="191"/>
      <c r="Q360" s="182"/>
    </row>
    <row r="361" spans="7:17" s="96" customFormat="1" ht="13.8" x14ac:dyDescent="0.3">
      <c r="G361" s="87"/>
      <c r="H361" s="182"/>
      <c r="I361" s="87"/>
      <c r="J361" s="87"/>
      <c r="K361" s="87"/>
      <c r="L361" s="87"/>
      <c r="M361" s="87"/>
      <c r="N361" s="87"/>
      <c r="O361" s="182"/>
      <c r="P361" s="191"/>
      <c r="Q361" s="182"/>
    </row>
    <row r="362" spans="7:17" s="96" customFormat="1" ht="13.8" x14ac:dyDescent="0.3">
      <c r="G362" s="87"/>
      <c r="H362" s="182"/>
      <c r="I362" s="87"/>
      <c r="J362" s="87"/>
      <c r="K362" s="87"/>
      <c r="L362" s="87"/>
      <c r="M362" s="87"/>
      <c r="N362" s="87"/>
      <c r="O362" s="182"/>
      <c r="P362" s="191"/>
      <c r="Q362" s="182"/>
    </row>
    <row r="363" spans="7:17" s="96" customFormat="1" ht="13.8" x14ac:dyDescent="0.3">
      <c r="G363" s="87"/>
      <c r="H363" s="182"/>
      <c r="I363" s="87"/>
      <c r="J363" s="87"/>
      <c r="K363" s="87"/>
      <c r="L363" s="87"/>
      <c r="M363" s="87"/>
      <c r="N363" s="87"/>
      <c r="O363" s="182"/>
      <c r="P363" s="191"/>
      <c r="Q363" s="182"/>
    </row>
    <row r="364" spans="7:17" s="96" customFormat="1" ht="13.8" x14ac:dyDescent="0.3">
      <c r="G364" s="87"/>
      <c r="H364" s="182"/>
      <c r="I364" s="87"/>
      <c r="J364" s="87"/>
      <c r="K364" s="87"/>
      <c r="L364" s="87"/>
      <c r="M364" s="87"/>
      <c r="N364" s="87"/>
      <c r="O364" s="182"/>
      <c r="P364" s="191"/>
      <c r="Q364" s="182"/>
    </row>
    <row r="365" spans="7:17" s="96" customFormat="1" ht="13.8" x14ac:dyDescent="0.3">
      <c r="G365" s="87"/>
      <c r="H365" s="182"/>
      <c r="I365" s="87"/>
      <c r="J365" s="87"/>
      <c r="K365" s="87"/>
      <c r="L365" s="87"/>
      <c r="M365" s="87"/>
      <c r="N365" s="87"/>
      <c r="O365" s="182"/>
      <c r="P365" s="191"/>
      <c r="Q365" s="182"/>
    </row>
    <row r="366" spans="7:17" s="96" customFormat="1" ht="13.8" x14ac:dyDescent="0.3">
      <c r="G366" s="87"/>
      <c r="H366" s="182"/>
      <c r="I366" s="87"/>
      <c r="J366" s="87"/>
      <c r="K366" s="87"/>
      <c r="L366" s="87"/>
      <c r="M366" s="87"/>
      <c r="N366" s="87"/>
      <c r="O366" s="182"/>
      <c r="P366" s="191"/>
      <c r="Q366" s="182"/>
    </row>
    <row r="367" spans="7:17" s="96" customFormat="1" ht="13.8" x14ac:dyDescent="0.3">
      <c r="G367" s="87"/>
      <c r="H367" s="182"/>
      <c r="I367" s="87"/>
      <c r="J367" s="87"/>
      <c r="K367" s="87"/>
      <c r="L367" s="87"/>
      <c r="M367" s="87"/>
      <c r="N367" s="87"/>
      <c r="O367" s="182"/>
      <c r="P367" s="191"/>
      <c r="Q367" s="182"/>
    </row>
    <row r="368" spans="7:17" s="96" customFormat="1" ht="13.8" x14ac:dyDescent="0.3">
      <c r="G368" s="87"/>
      <c r="H368" s="182"/>
      <c r="I368" s="87"/>
      <c r="J368" s="87"/>
      <c r="K368" s="87"/>
      <c r="L368" s="87"/>
      <c r="M368" s="87"/>
      <c r="N368" s="87"/>
      <c r="O368" s="182"/>
      <c r="P368" s="191"/>
      <c r="Q368" s="182"/>
    </row>
    <row r="369" spans="2:98" s="96" customFormat="1" ht="13.8" x14ac:dyDescent="0.3">
      <c r="G369" s="87"/>
      <c r="H369" s="182"/>
      <c r="I369" s="87"/>
      <c r="J369" s="87"/>
      <c r="K369" s="87"/>
      <c r="L369" s="87"/>
      <c r="M369" s="87"/>
      <c r="N369" s="87"/>
      <c r="O369" s="182"/>
      <c r="P369" s="191"/>
      <c r="Q369" s="182"/>
    </row>
    <row r="370" spans="2:98" s="96" customFormat="1" ht="13.8" x14ac:dyDescent="0.3">
      <c r="G370" s="87"/>
      <c r="H370" s="182"/>
      <c r="I370" s="87"/>
      <c r="J370" s="87"/>
      <c r="K370" s="87"/>
      <c r="L370" s="87"/>
      <c r="M370" s="87"/>
      <c r="N370" s="87"/>
      <c r="O370" s="182"/>
      <c r="P370" s="191"/>
      <c r="Q370" s="182"/>
    </row>
    <row r="371" spans="2:98" s="96" customFormat="1" ht="13.8" x14ac:dyDescent="0.3">
      <c r="G371" s="87"/>
      <c r="H371" s="182"/>
      <c r="I371" s="87"/>
      <c r="J371" s="87"/>
      <c r="K371" s="87"/>
      <c r="L371" s="87"/>
      <c r="M371" s="87"/>
      <c r="N371" s="87"/>
      <c r="O371" s="182"/>
      <c r="P371" s="191"/>
      <c r="Q371" s="182"/>
    </row>
    <row r="372" spans="2:98" s="96" customFormat="1" ht="13.8" x14ac:dyDescent="0.3">
      <c r="G372" s="87"/>
      <c r="H372" s="182"/>
      <c r="I372" s="87"/>
      <c r="J372" s="87"/>
      <c r="K372" s="87"/>
      <c r="L372" s="87"/>
      <c r="M372" s="87"/>
      <c r="N372" s="87"/>
      <c r="O372" s="182"/>
      <c r="P372" s="191"/>
      <c r="Q372" s="182"/>
    </row>
    <row r="373" spans="2:98" x14ac:dyDescent="0.3">
      <c r="B373" s="96"/>
      <c r="C373" s="96"/>
      <c r="D373" s="96"/>
      <c r="E373" s="96"/>
      <c r="F373" s="96"/>
      <c r="G373" s="87"/>
      <c r="H373" s="182"/>
      <c r="K373" s="87"/>
      <c r="L373" s="87"/>
      <c r="M373" s="87"/>
      <c r="N373" s="87"/>
      <c r="R373" s="395"/>
      <c r="S373" s="395"/>
      <c r="T373" s="395"/>
      <c r="U373" s="395"/>
      <c r="V373" s="395"/>
      <c r="W373" s="395"/>
      <c r="X373" s="395"/>
      <c r="Y373" s="395"/>
      <c r="Z373" s="395"/>
      <c r="AA373" s="395"/>
      <c r="AB373" s="395"/>
      <c r="AC373" s="395"/>
      <c r="AD373" s="395"/>
      <c r="AE373" s="395"/>
      <c r="AF373" s="395"/>
      <c r="AG373" s="395"/>
      <c r="AH373" s="395"/>
      <c r="AI373" s="395"/>
      <c r="AJ373" s="395"/>
      <c r="AK373" s="395"/>
      <c r="AL373" s="395"/>
      <c r="AM373" s="395"/>
      <c r="AN373" s="395"/>
      <c r="AO373" s="395"/>
      <c r="AP373" s="395"/>
      <c r="AQ373" s="395"/>
      <c r="AR373" s="395"/>
      <c r="AS373" s="395"/>
      <c r="AT373" s="395"/>
      <c r="AU373" s="395"/>
      <c r="AV373" s="395"/>
      <c r="AW373" s="395"/>
      <c r="AX373" s="395"/>
      <c r="AY373" s="395"/>
      <c r="AZ373" s="395"/>
      <c r="BA373" s="395"/>
      <c r="BB373" s="395"/>
      <c r="BC373" s="395"/>
      <c r="BD373" s="395"/>
      <c r="BE373" s="395"/>
      <c r="BF373" s="395"/>
      <c r="BG373" s="395"/>
      <c r="BH373" s="395"/>
      <c r="BI373" s="395"/>
      <c r="BJ373" s="395"/>
      <c r="BK373" s="395"/>
      <c r="BL373" s="395"/>
      <c r="BM373" s="395"/>
      <c r="BN373" s="395"/>
      <c r="BO373" s="395"/>
      <c r="BP373" s="395"/>
      <c r="BQ373" s="395"/>
      <c r="BR373" s="395"/>
      <c r="BS373" s="395"/>
      <c r="BT373" s="395"/>
      <c r="BU373" s="395"/>
      <c r="BV373" s="395"/>
      <c r="BW373" s="395"/>
      <c r="BX373" s="395"/>
      <c r="BY373" s="395"/>
      <c r="BZ373" s="395"/>
      <c r="CA373" s="395"/>
      <c r="CB373" s="395"/>
      <c r="CC373" s="395"/>
      <c r="CD373" s="395"/>
      <c r="CE373" s="395"/>
      <c r="CF373" s="395"/>
      <c r="CG373" s="395"/>
      <c r="CH373" s="395"/>
      <c r="CI373" s="395"/>
      <c r="CJ373" s="395"/>
      <c r="CK373" s="395"/>
      <c r="CL373" s="395"/>
      <c r="CM373" s="395"/>
      <c r="CN373" s="395"/>
      <c r="CO373" s="395"/>
      <c r="CP373" s="395"/>
      <c r="CQ373" s="395"/>
      <c r="CR373" s="395"/>
      <c r="CS373" s="395"/>
      <c r="CT373" s="395"/>
    </row>
    <row r="374" spans="2:98" x14ac:dyDescent="0.3">
      <c r="B374" s="96"/>
      <c r="C374" s="96"/>
      <c r="D374" s="96"/>
      <c r="E374" s="96"/>
      <c r="F374" s="96"/>
      <c r="G374" s="87"/>
      <c r="H374" s="182"/>
      <c r="K374" s="87"/>
      <c r="L374" s="87"/>
      <c r="M374" s="87"/>
      <c r="N374" s="87"/>
      <c r="R374" s="395"/>
      <c r="S374" s="395"/>
      <c r="T374" s="395"/>
      <c r="U374" s="395"/>
      <c r="V374" s="395"/>
      <c r="W374" s="395"/>
      <c r="X374" s="395"/>
      <c r="Y374" s="395"/>
      <c r="Z374" s="395"/>
      <c r="AA374" s="395"/>
      <c r="AB374" s="395"/>
      <c r="AC374" s="395"/>
      <c r="AD374" s="395"/>
      <c r="AE374" s="395"/>
      <c r="AF374" s="395"/>
      <c r="AG374" s="395"/>
      <c r="AH374" s="395"/>
      <c r="AI374" s="395"/>
      <c r="AJ374" s="395"/>
      <c r="AK374" s="395"/>
      <c r="AL374" s="395"/>
      <c r="AM374" s="395"/>
      <c r="AN374" s="395"/>
      <c r="AO374" s="395"/>
      <c r="AP374" s="395"/>
      <c r="AQ374" s="395"/>
      <c r="AR374" s="395"/>
      <c r="AS374" s="395"/>
      <c r="AT374" s="395"/>
      <c r="AU374" s="395"/>
      <c r="AV374" s="395"/>
      <c r="AW374" s="395"/>
      <c r="AX374" s="395"/>
      <c r="AY374" s="395"/>
      <c r="AZ374" s="395"/>
      <c r="BA374" s="395"/>
      <c r="BB374" s="395"/>
      <c r="BC374" s="395"/>
      <c r="BD374" s="395"/>
      <c r="BE374" s="395"/>
      <c r="BF374" s="395"/>
      <c r="BG374" s="395"/>
      <c r="BH374" s="395"/>
      <c r="BI374" s="395"/>
      <c r="BJ374" s="395"/>
      <c r="BK374" s="395"/>
      <c r="BL374" s="395"/>
      <c r="BM374" s="395"/>
      <c r="BN374" s="395"/>
      <c r="BO374" s="395"/>
      <c r="BP374" s="395"/>
      <c r="BQ374" s="395"/>
      <c r="BR374" s="395"/>
      <c r="BS374" s="395"/>
      <c r="BT374" s="395"/>
      <c r="BU374" s="395"/>
      <c r="BV374" s="395"/>
      <c r="BW374" s="395"/>
      <c r="BX374" s="395"/>
      <c r="BY374" s="395"/>
      <c r="BZ374" s="395"/>
      <c r="CA374" s="395"/>
      <c r="CB374" s="395"/>
      <c r="CC374" s="395"/>
      <c r="CD374" s="395"/>
      <c r="CE374" s="395"/>
      <c r="CF374" s="395"/>
      <c r="CG374" s="395"/>
      <c r="CH374" s="395"/>
      <c r="CI374" s="395"/>
      <c r="CJ374" s="395"/>
      <c r="CK374" s="395"/>
      <c r="CL374" s="395"/>
      <c r="CM374" s="395"/>
      <c r="CN374" s="395"/>
      <c r="CO374" s="395"/>
      <c r="CP374" s="395"/>
      <c r="CQ374" s="395"/>
      <c r="CR374" s="395"/>
      <c r="CS374" s="395"/>
      <c r="CT374" s="395"/>
    </row>
    <row r="375" spans="2:98" x14ac:dyDescent="0.3">
      <c r="B375" s="96"/>
      <c r="C375" s="96"/>
      <c r="D375" s="96"/>
      <c r="E375" s="96"/>
      <c r="F375" s="96"/>
      <c r="G375" s="87"/>
      <c r="H375" s="182"/>
      <c r="K375" s="87"/>
      <c r="L375" s="87"/>
      <c r="M375" s="87"/>
      <c r="N375" s="87"/>
      <c r="R375" s="395"/>
      <c r="S375" s="395"/>
      <c r="T375" s="395"/>
      <c r="U375" s="395"/>
      <c r="V375" s="395"/>
      <c r="W375" s="395"/>
      <c r="X375" s="395"/>
      <c r="Y375" s="395"/>
      <c r="Z375" s="395"/>
      <c r="AA375" s="395"/>
      <c r="AB375" s="395"/>
      <c r="AC375" s="395"/>
      <c r="AD375" s="395"/>
      <c r="AE375" s="395"/>
      <c r="AF375" s="395"/>
      <c r="AG375" s="395"/>
      <c r="AH375" s="395"/>
      <c r="AI375" s="395"/>
      <c r="AJ375" s="395"/>
      <c r="AK375" s="395"/>
      <c r="AL375" s="395"/>
      <c r="AM375" s="395"/>
      <c r="AN375" s="395"/>
      <c r="AO375" s="395"/>
      <c r="AP375" s="395"/>
      <c r="AQ375" s="395"/>
      <c r="AR375" s="395"/>
      <c r="AS375" s="395"/>
      <c r="AT375" s="395"/>
      <c r="AU375" s="395"/>
      <c r="AV375" s="395"/>
      <c r="AW375" s="395"/>
      <c r="AX375" s="395"/>
      <c r="AY375" s="395"/>
      <c r="AZ375" s="395"/>
      <c r="BA375" s="395"/>
      <c r="BB375" s="395"/>
      <c r="BC375" s="395"/>
      <c r="BD375" s="395"/>
      <c r="BE375" s="395"/>
      <c r="BF375" s="395"/>
      <c r="BG375" s="395"/>
      <c r="BH375" s="395"/>
      <c r="BI375" s="395"/>
      <c r="BJ375" s="395"/>
      <c r="BK375" s="395"/>
      <c r="BL375" s="395"/>
      <c r="BM375" s="395"/>
      <c r="BN375" s="395"/>
      <c r="BO375" s="395"/>
      <c r="BP375" s="395"/>
      <c r="BQ375" s="395"/>
      <c r="BR375" s="395"/>
      <c r="BS375" s="395"/>
      <c r="BT375" s="395"/>
      <c r="BU375" s="395"/>
      <c r="BV375" s="395"/>
      <c r="BW375" s="395"/>
      <c r="BX375" s="395"/>
      <c r="BY375" s="395"/>
      <c r="BZ375" s="395"/>
      <c r="CA375" s="395"/>
      <c r="CB375" s="395"/>
      <c r="CC375" s="395"/>
      <c r="CD375" s="395"/>
      <c r="CE375" s="395"/>
      <c r="CF375" s="395"/>
      <c r="CG375" s="395"/>
      <c r="CH375" s="395"/>
      <c r="CI375" s="395"/>
      <c r="CJ375" s="395"/>
      <c r="CK375" s="395"/>
      <c r="CL375" s="395"/>
      <c r="CM375" s="395"/>
      <c r="CN375" s="395"/>
      <c r="CO375" s="395"/>
      <c r="CP375" s="395"/>
      <c r="CQ375" s="395"/>
      <c r="CR375" s="395"/>
      <c r="CS375" s="395"/>
      <c r="CT375" s="395"/>
    </row>
    <row r="376" spans="2:98" x14ac:dyDescent="0.3">
      <c r="B376" s="96"/>
      <c r="C376" s="96"/>
      <c r="D376" s="96"/>
      <c r="E376" s="96"/>
      <c r="F376" s="96"/>
      <c r="G376" s="87"/>
      <c r="H376" s="182"/>
      <c r="K376" s="87"/>
      <c r="L376" s="87"/>
      <c r="M376" s="87"/>
      <c r="N376" s="87"/>
      <c r="R376" s="395"/>
      <c r="S376" s="395"/>
      <c r="T376" s="395"/>
      <c r="U376" s="395"/>
      <c r="V376" s="395"/>
      <c r="W376" s="395"/>
      <c r="X376" s="395"/>
      <c r="Y376" s="395"/>
      <c r="Z376" s="395"/>
      <c r="AA376" s="395"/>
      <c r="AB376" s="395"/>
      <c r="AC376" s="395"/>
      <c r="AD376" s="395"/>
      <c r="AE376" s="395"/>
      <c r="AF376" s="395"/>
      <c r="AG376" s="395"/>
      <c r="AH376" s="395"/>
      <c r="AI376" s="395"/>
      <c r="AJ376" s="395"/>
      <c r="AK376" s="395"/>
      <c r="AL376" s="395"/>
      <c r="AM376" s="395"/>
      <c r="AN376" s="395"/>
      <c r="AO376" s="395"/>
      <c r="AP376" s="395"/>
      <c r="AQ376" s="395"/>
      <c r="AR376" s="395"/>
      <c r="AS376" s="395"/>
      <c r="AT376" s="395"/>
      <c r="AU376" s="395"/>
      <c r="AV376" s="395"/>
      <c r="AW376" s="395"/>
      <c r="AX376" s="395"/>
      <c r="AY376" s="395"/>
      <c r="AZ376" s="395"/>
      <c r="BA376" s="395"/>
      <c r="BB376" s="395"/>
      <c r="BC376" s="395"/>
      <c r="BD376" s="395"/>
      <c r="BE376" s="395"/>
      <c r="BF376" s="395"/>
      <c r="BG376" s="395"/>
      <c r="BH376" s="395"/>
      <c r="BI376" s="395"/>
      <c r="BJ376" s="395"/>
      <c r="BK376" s="395"/>
      <c r="BL376" s="395"/>
      <c r="BM376" s="395"/>
      <c r="BN376" s="395"/>
      <c r="BO376" s="395"/>
      <c r="BP376" s="395"/>
      <c r="BQ376" s="395"/>
      <c r="BR376" s="395"/>
      <c r="BS376" s="395"/>
      <c r="BT376" s="395"/>
      <c r="BU376" s="395"/>
      <c r="BV376" s="395"/>
      <c r="BW376" s="395"/>
      <c r="BX376" s="395"/>
      <c r="BY376" s="395"/>
      <c r="BZ376" s="395"/>
      <c r="CA376" s="395"/>
      <c r="CB376" s="395"/>
      <c r="CC376" s="395"/>
      <c r="CD376" s="395"/>
      <c r="CE376" s="395"/>
      <c r="CF376" s="395"/>
      <c r="CG376" s="395"/>
      <c r="CH376" s="395"/>
      <c r="CI376" s="395"/>
      <c r="CJ376" s="395"/>
      <c r="CK376" s="395"/>
      <c r="CL376" s="395"/>
      <c r="CM376" s="395"/>
      <c r="CN376" s="395"/>
      <c r="CO376" s="395"/>
      <c r="CP376" s="395"/>
      <c r="CQ376" s="395"/>
      <c r="CR376" s="395"/>
      <c r="CS376" s="395"/>
      <c r="CT376" s="395"/>
    </row>
    <row r="377" spans="2:98" x14ac:dyDescent="0.3">
      <c r="B377" s="96"/>
      <c r="C377" s="96"/>
      <c r="D377" s="96"/>
      <c r="E377" s="96"/>
      <c r="F377" s="96"/>
      <c r="G377" s="87"/>
      <c r="H377" s="182"/>
      <c r="K377" s="87"/>
      <c r="L377" s="87"/>
      <c r="M377" s="87"/>
      <c r="N377" s="87"/>
      <c r="R377" s="395"/>
      <c r="S377" s="395"/>
      <c r="T377" s="395"/>
      <c r="U377" s="395"/>
      <c r="V377" s="395"/>
      <c r="W377" s="395"/>
      <c r="X377" s="395"/>
      <c r="Y377" s="395"/>
      <c r="Z377" s="395"/>
      <c r="AA377" s="395"/>
      <c r="AB377" s="395"/>
      <c r="AC377" s="395"/>
      <c r="AD377" s="395"/>
      <c r="AE377" s="395"/>
      <c r="AF377" s="395"/>
      <c r="AG377" s="395"/>
      <c r="AH377" s="395"/>
      <c r="AI377" s="395"/>
      <c r="AJ377" s="395"/>
      <c r="AK377" s="395"/>
      <c r="AL377" s="395"/>
      <c r="AM377" s="395"/>
      <c r="AN377" s="395"/>
      <c r="AO377" s="395"/>
      <c r="AP377" s="395"/>
      <c r="AQ377" s="395"/>
      <c r="AR377" s="395"/>
      <c r="AS377" s="395"/>
      <c r="AT377" s="395"/>
      <c r="AU377" s="395"/>
      <c r="AV377" s="395"/>
      <c r="AW377" s="395"/>
      <c r="AX377" s="395"/>
      <c r="AY377" s="395"/>
      <c r="AZ377" s="395"/>
      <c r="BA377" s="395"/>
      <c r="BB377" s="395"/>
      <c r="BC377" s="395"/>
      <c r="BD377" s="395"/>
      <c r="BE377" s="395"/>
      <c r="BF377" s="395"/>
      <c r="BG377" s="395"/>
      <c r="BH377" s="395"/>
      <c r="BI377" s="395"/>
      <c r="BJ377" s="395"/>
      <c r="BK377" s="395"/>
      <c r="BL377" s="395"/>
      <c r="BM377" s="395"/>
      <c r="BN377" s="395"/>
      <c r="BO377" s="395"/>
      <c r="BP377" s="395"/>
      <c r="BQ377" s="395"/>
      <c r="BR377" s="395"/>
      <c r="BS377" s="395"/>
      <c r="BT377" s="395"/>
      <c r="BU377" s="395"/>
      <c r="BV377" s="395"/>
      <c r="BW377" s="395"/>
      <c r="BX377" s="395"/>
      <c r="BY377" s="395"/>
      <c r="BZ377" s="395"/>
      <c r="CA377" s="395"/>
      <c r="CB377" s="395"/>
      <c r="CC377" s="395"/>
      <c r="CD377" s="395"/>
      <c r="CE377" s="395"/>
      <c r="CF377" s="395"/>
      <c r="CG377" s="395"/>
      <c r="CH377" s="395"/>
      <c r="CI377" s="395"/>
      <c r="CJ377" s="395"/>
      <c r="CK377" s="395"/>
      <c r="CL377" s="395"/>
      <c r="CM377" s="395"/>
      <c r="CN377" s="395"/>
      <c r="CO377" s="395"/>
      <c r="CP377" s="395"/>
      <c r="CQ377" s="395"/>
      <c r="CR377" s="395"/>
      <c r="CS377" s="395"/>
      <c r="CT377" s="395"/>
    </row>
    <row r="378" spans="2:98" x14ac:dyDescent="0.3">
      <c r="B378" s="96"/>
      <c r="C378" s="96"/>
      <c r="D378" s="96"/>
      <c r="E378" s="96"/>
      <c r="F378" s="96"/>
      <c r="G378" s="87"/>
      <c r="H378" s="182"/>
      <c r="K378" s="87"/>
      <c r="L378" s="87"/>
      <c r="M378" s="87"/>
      <c r="N378" s="87"/>
      <c r="R378" s="395"/>
      <c r="S378" s="395"/>
      <c r="T378" s="395"/>
      <c r="U378" s="395"/>
      <c r="V378" s="395"/>
      <c r="W378" s="395"/>
      <c r="X378" s="395"/>
      <c r="Y378" s="395"/>
      <c r="Z378" s="395"/>
      <c r="AA378" s="395"/>
      <c r="AB378" s="395"/>
      <c r="AC378" s="395"/>
      <c r="AD378" s="395"/>
      <c r="AE378" s="395"/>
      <c r="AF378" s="395"/>
      <c r="AG378" s="395"/>
      <c r="AH378" s="395"/>
      <c r="AI378" s="395"/>
      <c r="AJ378" s="395"/>
      <c r="AK378" s="395"/>
      <c r="AL378" s="395"/>
      <c r="AM378" s="395"/>
      <c r="AN378" s="395"/>
      <c r="AO378" s="395"/>
      <c r="AP378" s="395"/>
      <c r="AQ378" s="395"/>
      <c r="AR378" s="395"/>
      <c r="AS378" s="395"/>
      <c r="AT378" s="395"/>
      <c r="AU378" s="395"/>
      <c r="AV378" s="395"/>
      <c r="AW378" s="395"/>
      <c r="AX378" s="395"/>
      <c r="AY378" s="395"/>
      <c r="AZ378" s="395"/>
      <c r="BA378" s="395"/>
      <c r="BB378" s="395"/>
      <c r="BC378" s="395"/>
      <c r="BD378" s="395"/>
      <c r="BE378" s="395"/>
      <c r="BF378" s="395"/>
      <c r="BG378" s="395"/>
      <c r="BH378" s="395"/>
      <c r="BI378" s="395"/>
      <c r="BJ378" s="395"/>
      <c r="BK378" s="395"/>
      <c r="BL378" s="395"/>
      <c r="BM378" s="395"/>
      <c r="BN378" s="395"/>
      <c r="BO378" s="395"/>
      <c r="BP378" s="395"/>
      <c r="BQ378" s="395"/>
      <c r="BR378" s="395"/>
      <c r="BS378" s="395"/>
      <c r="BT378" s="395"/>
      <c r="BU378" s="395"/>
      <c r="BV378" s="395"/>
      <c r="BW378" s="395"/>
      <c r="BX378" s="395"/>
      <c r="BY378" s="395"/>
      <c r="BZ378" s="395"/>
      <c r="CA378" s="395"/>
      <c r="CB378" s="395"/>
      <c r="CC378" s="395"/>
      <c r="CD378" s="395"/>
      <c r="CE378" s="395"/>
      <c r="CF378" s="395"/>
      <c r="CG378" s="395"/>
      <c r="CH378" s="395"/>
      <c r="CI378" s="395"/>
      <c r="CJ378" s="395"/>
      <c r="CK378" s="395"/>
      <c r="CL378" s="395"/>
      <c r="CM378" s="395"/>
      <c r="CN378" s="395"/>
      <c r="CO378" s="395"/>
      <c r="CP378" s="395"/>
      <c r="CQ378" s="395"/>
      <c r="CR378" s="395"/>
      <c r="CS378" s="395"/>
      <c r="CT378" s="395"/>
    </row>
    <row r="379" spans="2:98" x14ac:dyDescent="0.3">
      <c r="B379" s="96"/>
      <c r="C379" s="96"/>
      <c r="D379" s="96"/>
      <c r="E379" s="96"/>
      <c r="F379" s="96"/>
      <c r="G379" s="87"/>
      <c r="H379" s="182"/>
      <c r="K379" s="87"/>
      <c r="L379" s="87"/>
      <c r="M379" s="87"/>
      <c r="N379" s="87"/>
      <c r="R379" s="395"/>
      <c r="S379" s="395"/>
      <c r="T379" s="395"/>
      <c r="U379" s="395"/>
      <c r="V379" s="395"/>
      <c r="W379" s="395"/>
      <c r="X379" s="395"/>
      <c r="Y379" s="395"/>
      <c r="Z379" s="395"/>
      <c r="AA379" s="395"/>
      <c r="AB379" s="395"/>
      <c r="AC379" s="395"/>
      <c r="AD379" s="395"/>
      <c r="AE379" s="395"/>
      <c r="AF379" s="395"/>
      <c r="AG379" s="395"/>
      <c r="AH379" s="395"/>
      <c r="AI379" s="395"/>
      <c r="AJ379" s="395"/>
      <c r="AK379" s="395"/>
      <c r="AL379" s="395"/>
      <c r="AM379" s="395"/>
      <c r="AN379" s="395"/>
      <c r="AO379" s="395"/>
      <c r="AP379" s="395"/>
      <c r="AQ379" s="395"/>
      <c r="AR379" s="395"/>
      <c r="AS379" s="395"/>
      <c r="AT379" s="395"/>
      <c r="AU379" s="395"/>
      <c r="AV379" s="395"/>
      <c r="AW379" s="395"/>
      <c r="AX379" s="395"/>
      <c r="AY379" s="395"/>
      <c r="AZ379" s="395"/>
      <c r="BA379" s="395"/>
      <c r="BB379" s="395"/>
      <c r="BC379" s="395"/>
      <c r="BD379" s="395"/>
      <c r="BE379" s="395"/>
      <c r="BF379" s="395"/>
      <c r="BG379" s="395"/>
      <c r="BH379" s="395"/>
      <c r="BI379" s="395"/>
      <c r="BJ379" s="395"/>
      <c r="BK379" s="395"/>
      <c r="BL379" s="395"/>
      <c r="BM379" s="395"/>
      <c r="BN379" s="395"/>
      <c r="BO379" s="395"/>
      <c r="BP379" s="395"/>
      <c r="BQ379" s="395"/>
      <c r="BR379" s="395"/>
      <c r="BS379" s="395"/>
      <c r="BT379" s="395"/>
      <c r="BU379" s="395"/>
      <c r="BV379" s="395"/>
      <c r="BW379" s="395"/>
      <c r="BX379" s="395"/>
      <c r="BY379" s="395"/>
      <c r="BZ379" s="395"/>
      <c r="CA379" s="395"/>
      <c r="CB379" s="395"/>
      <c r="CC379" s="395"/>
      <c r="CD379" s="395"/>
      <c r="CE379" s="395"/>
      <c r="CF379" s="395"/>
      <c r="CG379" s="395"/>
      <c r="CH379" s="395"/>
      <c r="CI379" s="395"/>
      <c r="CJ379" s="395"/>
      <c r="CK379" s="395"/>
      <c r="CL379" s="395"/>
      <c r="CM379" s="395"/>
      <c r="CN379" s="395"/>
      <c r="CO379" s="395"/>
      <c r="CP379" s="395"/>
      <c r="CQ379" s="395"/>
      <c r="CR379" s="395"/>
      <c r="CS379" s="395"/>
      <c r="CT379" s="395"/>
    </row>
    <row r="380" spans="2:98" x14ac:dyDescent="0.3">
      <c r="B380" s="96"/>
      <c r="C380" s="96"/>
      <c r="D380" s="96"/>
      <c r="E380" s="96"/>
      <c r="F380" s="96"/>
      <c r="G380" s="87"/>
      <c r="H380" s="182"/>
      <c r="K380" s="87"/>
      <c r="L380" s="87"/>
      <c r="M380" s="87"/>
      <c r="N380" s="87"/>
      <c r="R380" s="395"/>
      <c r="S380" s="395"/>
      <c r="T380" s="395"/>
      <c r="U380" s="395"/>
      <c r="V380" s="395"/>
      <c r="W380" s="395"/>
      <c r="X380" s="395"/>
      <c r="Y380" s="395"/>
      <c r="Z380" s="395"/>
      <c r="AA380" s="395"/>
      <c r="AB380" s="395"/>
      <c r="AC380" s="395"/>
      <c r="AD380" s="395"/>
      <c r="AE380" s="395"/>
      <c r="AF380" s="395"/>
      <c r="AG380" s="395"/>
      <c r="AH380" s="395"/>
      <c r="AI380" s="395"/>
      <c r="AJ380" s="395"/>
      <c r="AK380" s="395"/>
      <c r="AL380" s="395"/>
      <c r="AM380" s="395"/>
      <c r="AN380" s="395"/>
      <c r="AO380" s="395"/>
      <c r="AP380" s="395"/>
      <c r="AQ380" s="395"/>
      <c r="AR380" s="395"/>
      <c r="AS380" s="395"/>
      <c r="AT380" s="395"/>
      <c r="AU380" s="395"/>
      <c r="AV380" s="395"/>
      <c r="AW380" s="395"/>
      <c r="AX380" s="395"/>
      <c r="AY380" s="395"/>
      <c r="AZ380" s="395"/>
      <c r="BA380" s="395"/>
      <c r="BB380" s="395"/>
      <c r="BC380" s="395"/>
      <c r="BD380" s="395"/>
      <c r="BE380" s="395"/>
      <c r="BF380" s="395"/>
      <c r="BG380" s="395"/>
      <c r="BH380" s="395"/>
      <c r="BI380" s="395"/>
      <c r="BJ380" s="395"/>
      <c r="BK380" s="395"/>
      <c r="BL380" s="395"/>
      <c r="BM380" s="395"/>
      <c r="BN380" s="395"/>
      <c r="BO380" s="395"/>
      <c r="BP380" s="395"/>
      <c r="BQ380" s="395"/>
      <c r="BR380" s="395"/>
      <c r="BS380" s="395"/>
      <c r="BT380" s="395"/>
      <c r="BU380" s="395"/>
      <c r="BV380" s="395"/>
      <c r="BW380" s="395"/>
      <c r="BX380" s="395"/>
      <c r="BY380" s="395"/>
      <c r="BZ380" s="395"/>
      <c r="CA380" s="395"/>
      <c r="CB380" s="395"/>
      <c r="CC380" s="395"/>
      <c r="CD380" s="395"/>
      <c r="CE380" s="395"/>
      <c r="CF380" s="395"/>
      <c r="CG380" s="395"/>
      <c r="CH380" s="395"/>
      <c r="CI380" s="395"/>
      <c r="CJ380" s="395"/>
      <c r="CK380" s="395"/>
      <c r="CL380" s="395"/>
      <c r="CM380" s="395"/>
      <c r="CN380" s="395"/>
      <c r="CO380" s="395"/>
      <c r="CP380" s="395"/>
      <c r="CQ380" s="395"/>
      <c r="CR380" s="395"/>
      <c r="CS380" s="395"/>
      <c r="CT380" s="395"/>
    </row>
    <row r="381" spans="2:98" x14ac:dyDescent="0.3">
      <c r="B381" s="96"/>
      <c r="C381" s="96"/>
      <c r="D381" s="96"/>
      <c r="E381" s="96"/>
      <c r="F381" s="96"/>
      <c r="G381" s="87"/>
      <c r="H381" s="182"/>
      <c r="K381" s="87"/>
      <c r="L381" s="87"/>
      <c r="M381" s="87"/>
      <c r="N381" s="87"/>
      <c r="R381" s="395"/>
      <c r="S381" s="395"/>
      <c r="T381" s="395"/>
      <c r="U381" s="395"/>
      <c r="V381" s="395"/>
      <c r="W381" s="395"/>
      <c r="X381" s="395"/>
      <c r="Y381" s="395"/>
      <c r="Z381" s="395"/>
      <c r="AA381" s="395"/>
      <c r="AB381" s="395"/>
      <c r="AC381" s="395"/>
      <c r="AD381" s="395"/>
      <c r="AE381" s="395"/>
      <c r="AF381" s="395"/>
      <c r="AG381" s="395"/>
      <c r="AH381" s="395"/>
      <c r="AI381" s="395"/>
      <c r="AJ381" s="395"/>
      <c r="AK381" s="395"/>
      <c r="AL381" s="395"/>
      <c r="AM381" s="395"/>
      <c r="AN381" s="395"/>
      <c r="AO381" s="395"/>
      <c r="AP381" s="395"/>
      <c r="AQ381" s="395"/>
      <c r="AR381" s="395"/>
      <c r="AS381" s="395"/>
      <c r="AT381" s="395"/>
      <c r="AU381" s="395"/>
      <c r="AV381" s="395"/>
      <c r="AW381" s="395"/>
      <c r="AX381" s="395"/>
      <c r="AY381" s="395"/>
      <c r="AZ381" s="395"/>
      <c r="BA381" s="395"/>
      <c r="BB381" s="395"/>
      <c r="BC381" s="395"/>
      <c r="BD381" s="395"/>
      <c r="BE381" s="395"/>
      <c r="BF381" s="395"/>
      <c r="BG381" s="395"/>
      <c r="BH381" s="395"/>
      <c r="BI381" s="395"/>
      <c r="BJ381" s="395"/>
      <c r="BK381" s="395"/>
      <c r="BL381" s="395"/>
      <c r="BM381" s="395"/>
      <c r="BN381" s="395"/>
      <c r="BO381" s="395"/>
      <c r="BP381" s="395"/>
      <c r="BQ381" s="395"/>
      <c r="BR381" s="395"/>
      <c r="BS381" s="395"/>
      <c r="BT381" s="395"/>
      <c r="BU381" s="395"/>
      <c r="BV381" s="395"/>
      <c r="BW381" s="395"/>
      <c r="BX381" s="395"/>
      <c r="BY381" s="395"/>
      <c r="BZ381" s="395"/>
      <c r="CA381" s="395"/>
      <c r="CB381" s="395"/>
      <c r="CC381" s="395"/>
      <c r="CD381" s="395"/>
      <c r="CE381" s="395"/>
      <c r="CF381" s="395"/>
      <c r="CG381" s="395"/>
      <c r="CH381" s="395"/>
      <c r="CI381" s="395"/>
      <c r="CJ381" s="395"/>
      <c r="CK381" s="395"/>
      <c r="CL381" s="395"/>
      <c r="CM381" s="395"/>
      <c r="CN381" s="395"/>
      <c r="CO381" s="395"/>
      <c r="CP381" s="395"/>
      <c r="CQ381" s="395"/>
      <c r="CR381" s="395"/>
      <c r="CS381" s="395"/>
      <c r="CT381" s="395"/>
    </row>
    <row r="382" spans="2:98" x14ac:dyDescent="0.3">
      <c r="B382" s="96"/>
      <c r="C382" s="96"/>
      <c r="D382" s="96"/>
      <c r="E382" s="96"/>
      <c r="F382" s="96"/>
      <c r="G382" s="87"/>
      <c r="H382" s="182"/>
      <c r="K382" s="87"/>
      <c r="L382" s="87"/>
      <c r="M382" s="87"/>
      <c r="N382" s="87"/>
      <c r="R382" s="395"/>
      <c r="S382" s="395"/>
      <c r="T382" s="395"/>
      <c r="U382" s="395"/>
      <c r="V382" s="395"/>
      <c r="W382" s="395"/>
      <c r="X382" s="395"/>
      <c r="Y382" s="395"/>
      <c r="Z382" s="395"/>
      <c r="AA382" s="395"/>
      <c r="AB382" s="395"/>
      <c r="AC382" s="395"/>
      <c r="AD382" s="395"/>
      <c r="AE382" s="395"/>
      <c r="AF382" s="395"/>
      <c r="AG382" s="395"/>
      <c r="AH382" s="395"/>
      <c r="AI382" s="395"/>
      <c r="AJ382" s="395"/>
      <c r="AK382" s="395"/>
      <c r="AL382" s="395"/>
      <c r="AM382" s="395"/>
      <c r="AN382" s="395"/>
      <c r="AO382" s="395"/>
      <c r="AP382" s="395"/>
      <c r="AQ382" s="395"/>
      <c r="AR382" s="395"/>
      <c r="AS382" s="395"/>
      <c r="AT382" s="395"/>
      <c r="AU382" s="395"/>
      <c r="AV382" s="395"/>
      <c r="AW382" s="395"/>
      <c r="AX382" s="395"/>
      <c r="AY382" s="395"/>
      <c r="AZ382" s="395"/>
      <c r="BA382" s="395"/>
      <c r="BB382" s="395"/>
      <c r="BC382" s="395"/>
      <c r="BD382" s="395"/>
      <c r="BE382" s="395"/>
      <c r="BF382" s="395"/>
      <c r="BG382" s="395"/>
      <c r="BH382" s="395"/>
      <c r="BI382" s="395"/>
      <c r="BJ382" s="395"/>
      <c r="BK382" s="395"/>
      <c r="BL382" s="395"/>
      <c r="BM382" s="395"/>
      <c r="BN382" s="395"/>
      <c r="BO382" s="395"/>
      <c r="BP382" s="395"/>
      <c r="BQ382" s="395"/>
      <c r="BR382" s="395"/>
      <c r="BS382" s="395"/>
      <c r="BT382" s="395"/>
      <c r="BU382" s="395"/>
      <c r="BV382" s="395"/>
      <c r="BW382" s="395"/>
      <c r="BX382" s="395"/>
      <c r="BY382" s="395"/>
      <c r="BZ382" s="395"/>
      <c r="CA382" s="395"/>
      <c r="CB382" s="395"/>
      <c r="CC382" s="395"/>
      <c r="CD382" s="395"/>
      <c r="CE382" s="395"/>
      <c r="CF382" s="395"/>
      <c r="CG382" s="395"/>
      <c r="CH382" s="395"/>
      <c r="CI382" s="395"/>
      <c r="CJ382" s="395"/>
      <c r="CK382" s="395"/>
      <c r="CL382" s="395"/>
      <c r="CM382" s="395"/>
      <c r="CN382" s="395"/>
      <c r="CO382" s="395"/>
      <c r="CP382" s="395"/>
      <c r="CQ382" s="395"/>
      <c r="CR382" s="395"/>
      <c r="CS382" s="395"/>
      <c r="CT382" s="395"/>
    </row>
    <row r="383" spans="2:98" x14ac:dyDescent="0.3">
      <c r="B383" s="96"/>
      <c r="C383" s="96"/>
      <c r="D383" s="96"/>
      <c r="E383" s="96"/>
      <c r="F383" s="96"/>
      <c r="G383" s="87"/>
      <c r="H383" s="182"/>
      <c r="K383" s="87"/>
      <c r="L383" s="87"/>
      <c r="M383" s="87"/>
      <c r="N383" s="87"/>
      <c r="R383" s="395"/>
      <c r="S383" s="395"/>
      <c r="T383" s="395"/>
      <c r="U383" s="395"/>
      <c r="V383" s="395"/>
      <c r="W383" s="395"/>
      <c r="X383" s="395"/>
      <c r="Y383" s="395"/>
      <c r="Z383" s="395"/>
      <c r="AA383" s="395"/>
      <c r="AB383" s="395"/>
      <c r="AC383" s="395"/>
      <c r="AD383" s="395"/>
      <c r="AE383" s="395"/>
      <c r="AF383" s="395"/>
      <c r="AG383" s="395"/>
      <c r="AH383" s="395"/>
      <c r="AI383" s="395"/>
      <c r="AJ383" s="395"/>
      <c r="AK383" s="395"/>
      <c r="AL383" s="395"/>
      <c r="AM383" s="395"/>
      <c r="AN383" s="395"/>
      <c r="AO383" s="395"/>
      <c r="AP383" s="395"/>
      <c r="AQ383" s="395"/>
      <c r="AR383" s="395"/>
      <c r="AS383" s="395"/>
      <c r="AT383" s="395"/>
      <c r="AU383" s="395"/>
      <c r="AV383" s="395"/>
      <c r="AW383" s="395"/>
      <c r="AX383" s="395"/>
      <c r="AY383" s="395"/>
      <c r="AZ383" s="395"/>
      <c r="BA383" s="395"/>
      <c r="BB383" s="395"/>
      <c r="BC383" s="395"/>
      <c r="BD383" s="395"/>
      <c r="BE383" s="395"/>
      <c r="BF383" s="395"/>
      <c r="BG383" s="395"/>
      <c r="BH383" s="395"/>
      <c r="BI383" s="395"/>
      <c r="BJ383" s="395"/>
      <c r="BK383" s="395"/>
      <c r="BL383" s="395"/>
      <c r="BM383" s="395"/>
      <c r="BN383" s="395"/>
      <c r="BO383" s="395"/>
      <c r="BP383" s="395"/>
      <c r="BQ383" s="395"/>
      <c r="BR383" s="395"/>
      <c r="BS383" s="395"/>
      <c r="BT383" s="395"/>
      <c r="BU383" s="395"/>
      <c r="BV383" s="395"/>
      <c r="BW383" s="395"/>
      <c r="BX383" s="395"/>
      <c r="BY383" s="395"/>
      <c r="BZ383" s="395"/>
      <c r="CA383" s="395"/>
      <c r="CB383" s="395"/>
      <c r="CC383" s="395"/>
      <c r="CD383" s="395"/>
      <c r="CE383" s="395"/>
      <c r="CF383" s="395"/>
      <c r="CG383" s="395"/>
      <c r="CH383" s="395"/>
      <c r="CI383" s="395"/>
      <c r="CJ383" s="395"/>
      <c r="CK383" s="395"/>
      <c r="CL383" s="395"/>
      <c r="CM383" s="395"/>
      <c r="CN383" s="395"/>
      <c r="CO383" s="395"/>
      <c r="CP383" s="395"/>
      <c r="CQ383" s="395"/>
      <c r="CR383" s="395"/>
      <c r="CS383" s="395"/>
      <c r="CT383" s="395"/>
    </row>
    <row r="384" spans="2:98" x14ac:dyDescent="0.3">
      <c r="B384" s="96"/>
      <c r="C384" s="96"/>
      <c r="D384" s="96"/>
      <c r="E384" s="96"/>
      <c r="F384" s="96"/>
      <c r="G384" s="87"/>
      <c r="H384" s="182"/>
      <c r="K384" s="87"/>
      <c r="L384" s="87"/>
      <c r="M384" s="87"/>
      <c r="N384" s="87"/>
      <c r="R384" s="395"/>
      <c r="S384" s="395"/>
      <c r="T384" s="395"/>
      <c r="U384" s="395"/>
      <c r="V384" s="395"/>
      <c r="W384" s="395"/>
      <c r="X384" s="395"/>
      <c r="Y384" s="395"/>
      <c r="Z384" s="395"/>
      <c r="AA384" s="395"/>
      <c r="AB384" s="395"/>
      <c r="AC384" s="395"/>
      <c r="AD384" s="395"/>
      <c r="AE384" s="395"/>
      <c r="AF384" s="395"/>
      <c r="AG384" s="395"/>
      <c r="AH384" s="395"/>
      <c r="AI384" s="395"/>
      <c r="AJ384" s="395"/>
      <c r="AK384" s="395"/>
      <c r="AL384" s="395"/>
      <c r="AM384" s="395"/>
      <c r="AN384" s="395"/>
      <c r="AO384" s="395"/>
      <c r="AP384" s="395"/>
      <c r="AQ384" s="395"/>
      <c r="AR384" s="395"/>
      <c r="AS384" s="395"/>
      <c r="AT384" s="395"/>
      <c r="AU384" s="395"/>
      <c r="AV384" s="395"/>
      <c r="AW384" s="395"/>
      <c r="AX384" s="395"/>
      <c r="AY384" s="395"/>
      <c r="AZ384" s="395"/>
      <c r="BA384" s="395"/>
      <c r="BB384" s="395"/>
      <c r="BC384" s="395"/>
      <c r="BD384" s="395"/>
      <c r="BE384" s="395"/>
      <c r="BF384" s="395"/>
      <c r="BG384" s="395"/>
      <c r="BH384" s="395"/>
      <c r="BI384" s="395"/>
      <c r="BJ384" s="395"/>
      <c r="BK384" s="395"/>
      <c r="BL384" s="395"/>
      <c r="BM384" s="395"/>
      <c r="BN384" s="395"/>
      <c r="BO384" s="395"/>
      <c r="BP384" s="395"/>
      <c r="BQ384" s="395"/>
      <c r="BR384" s="395"/>
      <c r="BS384" s="395"/>
      <c r="BT384" s="395"/>
      <c r="BU384" s="395"/>
      <c r="BV384" s="395"/>
      <c r="BW384" s="395"/>
      <c r="BX384" s="395"/>
      <c r="BY384" s="395"/>
      <c r="BZ384" s="395"/>
      <c r="CA384" s="395"/>
      <c r="CB384" s="395"/>
      <c r="CC384" s="395"/>
      <c r="CD384" s="395"/>
      <c r="CE384" s="395"/>
      <c r="CF384" s="395"/>
      <c r="CG384" s="395"/>
      <c r="CH384" s="395"/>
      <c r="CI384" s="395"/>
      <c r="CJ384" s="395"/>
      <c r="CK384" s="395"/>
      <c r="CL384" s="395"/>
      <c r="CM384" s="395"/>
      <c r="CN384" s="395"/>
      <c r="CO384" s="395"/>
      <c r="CP384" s="395"/>
      <c r="CQ384" s="395"/>
      <c r="CR384" s="395"/>
      <c r="CS384" s="395"/>
      <c r="CT384" s="395"/>
    </row>
    <row r="385" spans="2:98" x14ac:dyDescent="0.3">
      <c r="B385" s="96"/>
      <c r="C385" s="96"/>
      <c r="D385" s="96"/>
      <c r="E385" s="96"/>
      <c r="F385" s="96"/>
      <c r="G385" s="87"/>
      <c r="H385" s="182"/>
      <c r="K385" s="87"/>
      <c r="L385" s="87"/>
      <c r="M385" s="87"/>
      <c r="N385" s="87"/>
      <c r="R385" s="395"/>
      <c r="S385" s="395"/>
      <c r="T385" s="395"/>
      <c r="U385" s="395"/>
      <c r="V385" s="395"/>
      <c r="W385" s="395"/>
      <c r="X385" s="395"/>
      <c r="Y385" s="395"/>
      <c r="Z385" s="395"/>
      <c r="AA385" s="395"/>
      <c r="AB385" s="395"/>
      <c r="AC385" s="395"/>
      <c r="AD385" s="395"/>
      <c r="AE385" s="395"/>
      <c r="AF385" s="395"/>
      <c r="AG385" s="395"/>
      <c r="AH385" s="395"/>
      <c r="AI385" s="395"/>
      <c r="AJ385" s="395"/>
      <c r="AK385" s="395"/>
      <c r="AL385" s="395"/>
      <c r="AM385" s="395"/>
      <c r="AN385" s="395"/>
      <c r="AO385" s="395"/>
      <c r="AP385" s="395"/>
      <c r="AQ385" s="395"/>
      <c r="AR385" s="395"/>
      <c r="AS385" s="395"/>
      <c r="AT385" s="395"/>
      <c r="AU385" s="395"/>
      <c r="AV385" s="395"/>
      <c r="AW385" s="395"/>
      <c r="AX385" s="395"/>
      <c r="AY385" s="395"/>
      <c r="AZ385" s="395"/>
      <c r="BA385" s="395"/>
      <c r="BB385" s="395"/>
      <c r="BC385" s="395"/>
      <c r="BD385" s="395"/>
      <c r="BE385" s="395"/>
      <c r="BF385" s="395"/>
      <c r="BG385" s="395"/>
      <c r="BH385" s="395"/>
      <c r="BI385" s="395"/>
      <c r="BJ385" s="395"/>
      <c r="BK385" s="395"/>
      <c r="BL385" s="395"/>
      <c r="BM385" s="395"/>
      <c r="BN385" s="395"/>
      <c r="BO385" s="395"/>
      <c r="BP385" s="395"/>
      <c r="BQ385" s="395"/>
      <c r="BR385" s="395"/>
      <c r="BS385" s="395"/>
      <c r="BT385" s="395"/>
      <c r="BU385" s="395"/>
      <c r="BV385" s="395"/>
      <c r="BW385" s="395"/>
      <c r="BX385" s="395"/>
      <c r="BY385" s="395"/>
      <c r="BZ385" s="395"/>
      <c r="CA385" s="395"/>
      <c r="CB385" s="395"/>
      <c r="CC385" s="395"/>
      <c r="CD385" s="395"/>
      <c r="CE385" s="395"/>
      <c r="CF385" s="395"/>
      <c r="CG385" s="395"/>
      <c r="CH385" s="395"/>
      <c r="CI385" s="395"/>
      <c r="CJ385" s="395"/>
      <c r="CK385" s="395"/>
      <c r="CL385" s="395"/>
      <c r="CM385" s="395"/>
      <c r="CN385" s="395"/>
      <c r="CO385" s="395"/>
      <c r="CP385" s="395"/>
      <c r="CQ385" s="395"/>
      <c r="CR385" s="395"/>
      <c r="CS385" s="395"/>
      <c r="CT385" s="395"/>
    </row>
    <row r="386" spans="2:98" x14ac:dyDescent="0.3">
      <c r="B386" s="96"/>
      <c r="C386" s="96"/>
      <c r="D386" s="96"/>
      <c r="E386" s="96"/>
      <c r="F386" s="96"/>
      <c r="G386" s="87"/>
      <c r="H386" s="182"/>
      <c r="K386" s="87"/>
      <c r="L386" s="87"/>
      <c r="M386" s="87"/>
      <c r="N386" s="87"/>
      <c r="R386" s="395"/>
      <c r="S386" s="395"/>
      <c r="T386" s="395"/>
      <c r="U386" s="395"/>
      <c r="V386" s="395"/>
      <c r="W386" s="395"/>
      <c r="X386" s="395"/>
      <c r="Y386" s="395"/>
      <c r="Z386" s="395"/>
      <c r="AA386" s="395"/>
      <c r="AB386" s="395"/>
      <c r="AC386" s="395"/>
      <c r="AD386" s="395"/>
      <c r="AE386" s="395"/>
      <c r="AF386" s="395"/>
      <c r="AG386" s="395"/>
      <c r="AH386" s="395"/>
      <c r="AI386" s="395"/>
      <c r="AJ386" s="395"/>
      <c r="AK386" s="395"/>
      <c r="AL386" s="395"/>
      <c r="AM386" s="395"/>
      <c r="AN386" s="395"/>
      <c r="AO386" s="395"/>
      <c r="AP386" s="395"/>
      <c r="AQ386" s="395"/>
      <c r="AR386" s="395"/>
      <c r="AS386" s="395"/>
      <c r="AT386" s="395"/>
      <c r="AU386" s="395"/>
      <c r="AV386" s="395"/>
      <c r="AW386" s="395"/>
      <c r="AX386" s="395"/>
      <c r="AY386" s="395"/>
      <c r="AZ386" s="395"/>
      <c r="BA386" s="395"/>
      <c r="BB386" s="395"/>
      <c r="BC386" s="395"/>
      <c r="BD386" s="395"/>
      <c r="BE386" s="395"/>
      <c r="BF386" s="395"/>
      <c r="BG386" s="395"/>
      <c r="BH386" s="395"/>
      <c r="BI386" s="395"/>
      <c r="BJ386" s="395"/>
      <c r="BK386" s="395"/>
      <c r="BL386" s="395"/>
      <c r="BM386" s="395"/>
      <c r="BN386" s="395"/>
      <c r="BO386" s="395"/>
      <c r="BP386" s="395"/>
      <c r="BQ386" s="395"/>
      <c r="BR386" s="395"/>
      <c r="BS386" s="395"/>
      <c r="BT386" s="395"/>
      <c r="BU386" s="395"/>
      <c r="BV386" s="395"/>
      <c r="BW386" s="395"/>
      <c r="BX386" s="395"/>
      <c r="BY386" s="395"/>
      <c r="BZ386" s="395"/>
      <c r="CA386" s="395"/>
      <c r="CB386" s="395"/>
      <c r="CC386" s="395"/>
      <c r="CD386" s="395"/>
      <c r="CE386" s="395"/>
      <c r="CF386" s="395"/>
      <c r="CG386" s="395"/>
      <c r="CH386" s="395"/>
      <c r="CI386" s="395"/>
      <c r="CJ386" s="395"/>
      <c r="CK386" s="395"/>
      <c r="CL386" s="395"/>
      <c r="CM386" s="395"/>
      <c r="CN386" s="395"/>
      <c r="CO386" s="395"/>
      <c r="CP386" s="395"/>
      <c r="CQ386" s="395"/>
      <c r="CR386" s="395"/>
      <c r="CS386" s="395"/>
      <c r="CT386" s="395"/>
    </row>
    <row r="387" spans="2:98" x14ac:dyDescent="0.3">
      <c r="B387" s="96"/>
      <c r="C387" s="96"/>
      <c r="D387" s="96"/>
      <c r="E387" s="96"/>
      <c r="F387" s="96"/>
      <c r="G387" s="87"/>
      <c r="H387" s="182"/>
      <c r="K387" s="87"/>
      <c r="L387" s="87"/>
      <c r="M387" s="87"/>
      <c r="N387" s="87"/>
      <c r="R387" s="395"/>
      <c r="S387" s="395"/>
      <c r="T387" s="395"/>
      <c r="U387" s="395"/>
      <c r="V387" s="395"/>
      <c r="W387" s="395"/>
      <c r="X387" s="395"/>
      <c r="Y387" s="395"/>
      <c r="Z387" s="395"/>
      <c r="AA387" s="395"/>
      <c r="AB387" s="395"/>
      <c r="AC387" s="395"/>
      <c r="AD387" s="395"/>
      <c r="AE387" s="395"/>
      <c r="AF387" s="395"/>
      <c r="AG387" s="395"/>
      <c r="AH387" s="395"/>
      <c r="AI387" s="395"/>
      <c r="AJ387" s="395"/>
      <c r="AK387" s="395"/>
      <c r="AL387" s="395"/>
      <c r="AM387" s="395"/>
      <c r="AN387" s="395"/>
      <c r="AO387" s="395"/>
      <c r="AP387" s="395"/>
      <c r="AQ387" s="395"/>
      <c r="AR387" s="395"/>
      <c r="AS387" s="395"/>
      <c r="AT387" s="395"/>
      <c r="AU387" s="395"/>
      <c r="AV387" s="395"/>
      <c r="AW387" s="395"/>
      <c r="AX387" s="395"/>
      <c r="AY387" s="395"/>
      <c r="AZ387" s="395"/>
      <c r="BA387" s="395"/>
      <c r="BB387" s="395"/>
      <c r="BC387" s="395"/>
      <c r="BD387" s="395"/>
      <c r="BE387" s="395"/>
      <c r="BF387" s="395"/>
      <c r="BG387" s="395"/>
      <c r="BH387" s="395"/>
      <c r="BI387" s="395"/>
      <c r="BJ387" s="395"/>
      <c r="BK387" s="395"/>
      <c r="BL387" s="395"/>
      <c r="BM387" s="395"/>
      <c r="BN387" s="395"/>
      <c r="BO387" s="395"/>
      <c r="BP387" s="395"/>
      <c r="BQ387" s="395"/>
      <c r="BR387" s="395"/>
      <c r="BS387" s="395"/>
      <c r="BT387" s="395"/>
      <c r="BU387" s="395"/>
      <c r="BV387" s="395"/>
      <c r="BW387" s="395"/>
      <c r="BX387" s="395"/>
      <c r="BY387" s="395"/>
      <c r="BZ387" s="395"/>
      <c r="CA387" s="395"/>
      <c r="CB387" s="395"/>
      <c r="CC387" s="395"/>
      <c r="CD387" s="395"/>
      <c r="CE387" s="395"/>
      <c r="CF387" s="395"/>
      <c r="CG387" s="395"/>
      <c r="CH387" s="395"/>
      <c r="CI387" s="395"/>
      <c r="CJ387" s="395"/>
      <c r="CK387" s="395"/>
      <c r="CL387" s="395"/>
      <c r="CM387" s="395"/>
      <c r="CN387" s="395"/>
      <c r="CO387" s="395"/>
      <c r="CP387" s="395"/>
      <c r="CQ387" s="395"/>
      <c r="CR387" s="395"/>
      <c r="CS387" s="395"/>
      <c r="CT387" s="395"/>
    </row>
    <row r="388" spans="2:98" x14ac:dyDescent="0.3">
      <c r="B388" s="96"/>
      <c r="C388" s="96"/>
      <c r="D388" s="96"/>
      <c r="E388" s="96"/>
      <c r="F388" s="96"/>
      <c r="G388" s="87"/>
      <c r="H388" s="182"/>
      <c r="K388" s="87"/>
      <c r="L388" s="87"/>
      <c r="M388" s="87"/>
      <c r="N388" s="87"/>
      <c r="R388" s="395"/>
      <c r="S388" s="395"/>
      <c r="T388" s="395"/>
      <c r="U388" s="395"/>
      <c r="V388" s="395"/>
      <c r="W388" s="395"/>
      <c r="X388" s="395"/>
      <c r="Y388" s="395"/>
      <c r="Z388" s="395"/>
      <c r="AA388" s="395"/>
      <c r="AB388" s="395"/>
      <c r="AC388" s="395"/>
      <c r="AD388" s="395"/>
      <c r="AE388" s="395"/>
      <c r="AF388" s="395"/>
      <c r="AG388" s="395"/>
      <c r="AH388" s="395"/>
      <c r="AI388" s="395"/>
      <c r="AJ388" s="395"/>
      <c r="AK388" s="395"/>
      <c r="AL388" s="395"/>
      <c r="AM388" s="395"/>
      <c r="AN388" s="395"/>
      <c r="AO388" s="395"/>
      <c r="AP388" s="395"/>
      <c r="AQ388" s="395"/>
      <c r="AR388" s="395"/>
      <c r="AS388" s="395"/>
      <c r="AT388" s="395"/>
      <c r="AU388" s="395"/>
      <c r="AV388" s="395"/>
      <c r="AW388" s="395"/>
      <c r="AX388" s="395"/>
      <c r="AY388" s="395"/>
      <c r="AZ388" s="395"/>
      <c r="BA388" s="395"/>
      <c r="BB388" s="395"/>
      <c r="BC388" s="395"/>
      <c r="BD388" s="395"/>
      <c r="BE388" s="395"/>
      <c r="BF388" s="395"/>
      <c r="BG388" s="395"/>
      <c r="BH388" s="395"/>
      <c r="BI388" s="395"/>
      <c r="BJ388" s="395"/>
      <c r="BK388" s="395"/>
      <c r="BL388" s="395"/>
      <c r="BM388" s="395"/>
      <c r="BN388" s="395"/>
      <c r="BO388" s="395"/>
      <c r="BP388" s="395"/>
      <c r="BQ388" s="395"/>
      <c r="BR388" s="395"/>
      <c r="BS388" s="395"/>
      <c r="BT388" s="395"/>
      <c r="BU388" s="395"/>
      <c r="BV388" s="395"/>
      <c r="BW388" s="395"/>
      <c r="BX388" s="395"/>
      <c r="BY388" s="395"/>
      <c r="BZ388" s="395"/>
      <c r="CA388" s="395"/>
      <c r="CB388" s="395"/>
      <c r="CC388" s="395"/>
      <c r="CD388" s="395"/>
      <c r="CE388" s="395"/>
      <c r="CF388" s="395"/>
      <c r="CG388" s="395"/>
      <c r="CH388" s="395"/>
      <c r="CI388" s="395"/>
      <c r="CJ388" s="395"/>
      <c r="CK388" s="395"/>
      <c r="CL388" s="395"/>
      <c r="CM388" s="395"/>
      <c r="CN388" s="395"/>
      <c r="CO388" s="395"/>
      <c r="CP388" s="395"/>
      <c r="CQ388" s="395"/>
      <c r="CR388" s="395"/>
      <c r="CS388" s="395"/>
      <c r="CT388" s="395"/>
    </row>
    <row r="389" spans="2:98" x14ac:dyDescent="0.3">
      <c r="B389" s="96"/>
      <c r="C389" s="96"/>
      <c r="D389" s="96"/>
      <c r="E389" s="96"/>
      <c r="F389" s="96"/>
      <c r="G389" s="87"/>
      <c r="H389" s="182"/>
      <c r="K389" s="87"/>
      <c r="L389" s="87"/>
      <c r="M389" s="87"/>
      <c r="N389" s="87"/>
      <c r="R389" s="395"/>
      <c r="S389" s="395"/>
      <c r="T389" s="395"/>
      <c r="U389" s="395"/>
      <c r="V389" s="395"/>
      <c r="W389" s="395"/>
      <c r="X389" s="395"/>
      <c r="Y389" s="395"/>
      <c r="Z389" s="395"/>
      <c r="AA389" s="395"/>
      <c r="AB389" s="395"/>
      <c r="AC389" s="395"/>
      <c r="AD389" s="395"/>
      <c r="AE389" s="395"/>
      <c r="AF389" s="395"/>
      <c r="AG389" s="395"/>
      <c r="AH389" s="395"/>
      <c r="AI389" s="395"/>
      <c r="AJ389" s="395"/>
      <c r="AK389" s="395"/>
      <c r="AL389" s="395"/>
      <c r="AM389" s="395"/>
      <c r="AN389" s="395"/>
      <c r="AO389" s="395"/>
      <c r="AP389" s="395"/>
      <c r="AQ389" s="395"/>
      <c r="AR389" s="395"/>
      <c r="AS389" s="395"/>
      <c r="AT389" s="395"/>
      <c r="AU389" s="395"/>
      <c r="AV389" s="395"/>
      <c r="AW389" s="395"/>
      <c r="AX389" s="395"/>
      <c r="AY389" s="395"/>
      <c r="AZ389" s="395"/>
      <c r="BA389" s="395"/>
      <c r="BB389" s="395"/>
      <c r="BC389" s="395"/>
      <c r="BD389" s="395"/>
      <c r="BE389" s="395"/>
      <c r="BF389" s="395"/>
      <c r="BG389" s="395"/>
      <c r="BH389" s="395"/>
      <c r="BI389" s="395"/>
      <c r="BJ389" s="395"/>
      <c r="BK389" s="395"/>
      <c r="BL389" s="395"/>
      <c r="BM389" s="395"/>
      <c r="BN389" s="395"/>
      <c r="BO389" s="395"/>
      <c r="BP389" s="395"/>
      <c r="BQ389" s="395"/>
      <c r="BR389" s="395"/>
      <c r="BS389" s="395"/>
      <c r="BT389" s="395"/>
      <c r="BU389" s="395"/>
      <c r="BV389" s="395"/>
      <c r="BW389" s="395"/>
      <c r="BX389" s="395"/>
      <c r="BY389" s="395"/>
      <c r="BZ389" s="395"/>
      <c r="CA389" s="395"/>
      <c r="CB389" s="395"/>
      <c r="CC389" s="395"/>
      <c r="CD389" s="395"/>
      <c r="CE389" s="395"/>
      <c r="CF389" s="395"/>
      <c r="CG389" s="395"/>
      <c r="CH389" s="395"/>
      <c r="CI389" s="395"/>
      <c r="CJ389" s="395"/>
      <c r="CK389" s="395"/>
      <c r="CL389" s="395"/>
      <c r="CM389" s="395"/>
      <c r="CN389" s="395"/>
      <c r="CO389" s="395"/>
      <c r="CP389" s="395"/>
      <c r="CQ389" s="395"/>
      <c r="CR389" s="395"/>
      <c r="CS389" s="395"/>
      <c r="CT389" s="395"/>
    </row>
    <row r="390" spans="2:98" x14ac:dyDescent="0.3">
      <c r="B390" s="96"/>
      <c r="C390" s="96"/>
      <c r="D390" s="96"/>
      <c r="E390" s="96"/>
      <c r="F390" s="96"/>
      <c r="G390" s="87"/>
      <c r="H390" s="182"/>
      <c r="K390" s="87"/>
      <c r="L390" s="87"/>
      <c r="M390" s="87"/>
      <c r="N390" s="87"/>
      <c r="R390" s="395"/>
      <c r="S390" s="395"/>
      <c r="T390" s="395"/>
      <c r="U390" s="395"/>
      <c r="V390" s="395"/>
      <c r="W390" s="395"/>
      <c r="X390" s="395"/>
      <c r="Y390" s="395"/>
      <c r="Z390" s="395"/>
      <c r="AA390" s="395"/>
      <c r="AB390" s="395"/>
      <c r="AC390" s="395"/>
      <c r="AD390" s="395"/>
      <c r="AE390" s="395"/>
      <c r="AF390" s="395"/>
      <c r="AG390" s="395"/>
      <c r="AH390" s="395"/>
      <c r="AI390" s="395"/>
      <c r="AJ390" s="395"/>
      <c r="AK390" s="395"/>
      <c r="AL390" s="395"/>
      <c r="AM390" s="395"/>
      <c r="AN390" s="395"/>
      <c r="AO390" s="395"/>
      <c r="AP390" s="395"/>
      <c r="AQ390" s="395"/>
      <c r="AR390" s="395"/>
      <c r="AS390" s="395"/>
      <c r="AT390" s="395"/>
      <c r="AU390" s="395"/>
      <c r="AV390" s="395"/>
      <c r="AW390" s="395"/>
      <c r="AX390" s="395"/>
      <c r="AY390" s="395"/>
      <c r="AZ390" s="395"/>
      <c r="BA390" s="395"/>
      <c r="BB390" s="395"/>
      <c r="BC390" s="395"/>
      <c r="BD390" s="395"/>
      <c r="BE390" s="395"/>
      <c r="BF390" s="395"/>
      <c r="BG390" s="395"/>
      <c r="BH390" s="395"/>
      <c r="BI390" s="395"/>
      <c r="BJ390" s="395"/>
      <c r="BK390" s="395"/>
      <c r="BL390" s="395"/>
      <c r="BM390" s="395"/>
      <c r="BN390" s="395"/>
      <c r="BO390" s="395"/>
      <c r="BP390" s="395"/>
      <c r="BQ390" s="395"/>
      <c r="BR390" s="395"/>
      <c r="BS390" s="395"/>
      <c r="BT390" s="395"/>
      <c r="BU390" s="395"/>
      <c r="BV390" s="395"/>
      <c r="BW390" s="395"/>
      <c r="BX390" s="395"/>
      <c r="BY390" s="395"/>
      <c r="BZ390" s="395"/>
      <c r="CA390" s="395"/>
      <c r="CB390" s="395"/>
      <c r="CC390" s="395"/>
      <c r="CD390" s="395"/>
      <c r="CE390" s="395"/>
      <c r="CF390" s="395"/>
      <c r="CG390" s="395"/>
      <c r="CH390" s="395"/>
      <c r="CI390" s="395"/>
      <c r="CJ390" s="395"/>
      <c r="CK390" s="395"/>
      <c r="CL390" s="395"/>
      <c r="CM390" s="395"/>
      <c r="CN390" s="395"/>
      <c r="CO390" s="395"/>
      <c r="CP390" s="395"/>
      <c r="CQ390" s="395"/>
      <c r="CR390" s="395"/>
      <c r="CS390" s="395"/>
      <c r="CT390" s="395"/>
    </row>
    <row r="391" spans="2:98" x14ac:dyDescent="0.3">
      <c r="B391" s="96"/>
      <c r="C391" s="96"/>
      <c r="D391" s="96"/>
      <c r="E391" s="96"/>
      <c r="F391" s="96"/>
      <c r="G391" s="87"/>
      <c r="H391" s="182"/>
      <c r="K391" s="87"/>
      <c r="L391" s="87"/>
      <c r="M391" s="87"/>
      <c r="N391" s="87"/>
      <c r="R391" s="395"/>
      <c r="S391" s="395"/>
      <c r="T391" s="395"/>
      <c r="U391" s="395"/>
      <c r="V391" s="395"/>
      <c r="W391" s="395"/>
      <c r="X391" s="395"/>
      <c r="Y391" s="395"/>
      <c r="Z391" s="395"/>
      <c r="AA391" s="395"/>
      <c r="AB391" s="395"/>
      <c r="AC391" s="395"/>
      <c r="AD391" s="395"/>
      <c r="AE391" s="395"/>
      <c r="AF391" s="395"/>
      <c r="AG391" s="395"/>
      <c r="AH391" s="395"/>
      <c r="AI391" s="395"/>
      <c r="AJ391" s="395"/>
      <c r="AK391" s="395"/>
      <c r="AL391" s="395"/>
      <c r="AM391" s="395"/>
      <c r="AN391" s="395"/>
      <c r="AO391" s="395"/>
      <c r="AP391" s="395"/>
      <c r="AQ391" s="395"/>
      <c r="AR391" s="395"/>
      <c r="AS391" s="395"/>
      <c r="AT391" s="395"/>
      <c r="AU391" s="395"/>
      <c r="AV391" s="395"/>
      <c r="AW391" s="395"/>
      <c r="AX391" s="395"/>
      <c r="AY391" s="395"/>
      <c r="AZ391" s="395"/>
      <c r="BA391" s="395"/>
      <c r="BB391" s="395"/>
      <c r="BC391" s="395"/>
      <c r="BD391" s="395"/>
      <c r="BE391" s="395"/>
      <c r="BF391" s="395"/>
      <c r="BG391" s="395"/>
      <c r="BH391" s="395"/>
      <c r="BI391" s="395"/>
      <c r="BJ391" s="395"/>
      <c r="BK391" s="395"/>
      <c r="BL391" s="395"/>
      <c r="BM391" s="395"/>
      <c r="BN391" s="395"/>
      <c r="BO391" s="395"/>
      <c r="BP391" s="395"/>
      <c r="BQ391" s="395"/>
      <c r="BR391" s="395"/>
      <c r="BS391" s="395"/>
      <c r="BT391" s="395"/>
      <c r="BU391" s="395"/>
      <c r="BV391" s="395"/>
      <c r="BW391" s="395"/>
      <c r="BX391" s="395"/>
      <c r="BY391" s="395"/>
      <c r="BZ391" s="395"/>
      <c r="CA391" s="395"/>
      <c r="CB391" s="395"/>
      <c r="CC391" s="395"/>
      <c r="CD391" s="395"/>
      <c r="CE391" s="395"/>
      <c r="CF391" s="395"/>
      <c r="CG391" s="395"/>
      <c r="CH391" s="395"/>
      <c r="CI391" s="395"/>
      <c r="CJ391" s="395"/>
      <c r="CK391" s="395"/>
      <c r="CL391" s="395"/>
      <c r="CM391" s="395"/>
      <c r="CN391" s="395"/>
      <c r="CO391" s="395"/>
      <c r="CP391" s="395"/>
      <c r="CQ391" s="395"/>
      <c r="CR391" s="395"/>
      <c r="CS391" s="395"/>
      <c r="CT391" s="395"/>
    </row>
    <row r="392" spans="2:98" x14ac:dyDescent="0.3">
      <c r="B392" s="96"/>
      <c r="C392" s="96"/>
      <c r="D392" s="96"/>
      <c r="E392" s="96"/>
      <c r="F392" s="96"/>
      <c r="G392" s="87"/>
      <c r="H392" s="182"/>
      <c r="K392" s="87"/>
      <c r="L392" s="87"/>
      <c r="M392" s="87"/>
      <c r="N392" s="87"/>
      <c r="R392" s="395"/>
      <c r="S392" s="395"/>
      <c r="T392" s="395"/>
      <c r="U392" s="395"/>
      <c r="V392" s="395"/>
      <c r="W392" s="395"/>
      <c r="X392" s="395"/>
      <c r="Y392" s="395"/>
      <c r="Z392" s="395"/>
      <c r="AA392" s="395"/>
      <c r="AB392" s="395"/>
      <c r="AC392" s="395"/>
      <c r="AD392" s="395"/>
      <c r="AE392" s="395"/>
      <c r="AF392" s="395"/>
      <c r="AG392" s="395"/>
      <c r="AH392" s="395"/>
      <c r="AI392" s="395"/>
      <c r="AJ392" s="395"/>
      <c r="AK392" s="395"/>
      <c r="AL392" s="395"/>
      <c r="AM392" s="395"/>
      <c r="AN392" s="395"/>
      <c r="AO392" s="395"/>
      <c r="AP392" s="395"/>
      <c r="AQ392" s="395"/>
      <c r="AR392" s="395"/>
      <c r="AS392" s="395"/>
      <c r="AT392" s="395"/>
      <c r="AU392" s="395"/>
      <c r="AV392" s="395"/>
      <c r="AW392" s="395"/>
      <c r="AX392" s="395"/>
      <c r="AY392" s="395"/>
      <c r="AZ392" s="395"/>
      <c r="BA392" s="395"/>
      <c r="BB392" s="395"/>
      <c r="BC392" s="395"/>
      <c r="BD392" s="395"/>
      <c r="BE392" s="395"/>
      <c r="BF392" s="395"/>
      <c r="BG392" s="395"/>
      <c r="BH392" s="395"/>
      <c r="BI392" s="395"/>
      <c r="BJ392" s="395"/>
      <c r="BK392" s="395"/>
      <c r="BL392" s="395"/>
      <c r="BM392" s="395"/>
      <c r="BN392" s="395"/>
      <c r="BO392" s="395"/>
      <c r="BP392" s="395"/>
      <c r="BQ392" s="395"/>
      <c r="BR392" s="395"/>
      <c r="BS392" s="395"/>
      <c r="BT392" s="395"/>
      <c r="BU392" s="395"/>
      <c r="BV392" s="395"/>
      <c r="BW392" s="395"/>
      <c r="BX392" s="395"/>
      <c r="BY392" s="395"/>
      <c r="BZ392" s="395"/>
      <c r="CA392" s="395"/>
      <c r="CB392" s="395"/>
      <c r="CC392" s="395"/>
      <c r="CD392" s="395"/>
      <c r="CE392" s="395"/>
      <c r="CF392" s="395"/>
      <c r="CG392" s="395"/>
      <c r="CH392" s="395"/>
      <c r="CI392" s="395"/>
      <c r="CJ392" s="395"/>
      <c r="CK392" s="395"/>
      <c r="CL392" s="395"/>
      <c r="CM392" s="395"/>
      <c r="CN392" s="395"/>
      <c r="CO392" s="395"/>
      <c r="CP392" s="395"/>
      <c r="CQ392" s="395"/>
      <c r="CR392" s="395"/>
      <c r="CS392" s="395"/>
      <c r="CT392" s="395"/>
    </row>
    <row r="393" spans="2:98" x14ac:dyDescent="0.3">
      <c r="B393" s="96"/>
      <c r="C393" s="96"/>
      <c r="D393" s="96"/>
      <c r="E393" s="96"/>
      <c r="F393" s="96"/>
      <c r="G393" s="87"/>
      <c r="H393" s="182"/>
      <c r="K393" s="87"/>
      <c r="L393" s="87"/>
      <c r="M393" s="87"/>
      <c r="N393" s="87"/>
      <c r="R393" s="395"/>
      <c r="S393" s="395"/>
      <c r="T393" s="395"/>
      <c r="U393" s="395"/>
      <c r="V393" s="395"/>
      <c r="W393" s="395"/>
      <c r="X393" s="395"/>
      <c r="Y393" s="395"/>
      <c r="Z393" s="395"/>
      <c r="AA393" s="395"/>
      <c r="AB393" s="395"/>
      <c r="AC393" s="395"/>
      <c r="AD393" s="395"/>
      <c r="AE393" s="395"/>
      <c r="AF393" s="395"/>
      <c r="AG393" s="395"/>
      <c r="AH393" s="395"/>
      <c r="AI393" s="395"/>
      <c r="AJ393" s="395"/>
      <c r="AK393" s="395"/>
      <c r="AL393" s="395"/>
      <c r="AM393" s="395"/>
      <c r="AN393" s="395"/>
      <c r="AO393" s="395"/>
      <c r="AP393" s="395"/>
      <c r="AQ393" s="395"/>
      <c r="AR393" s="395"/>
      <c r="AS393" s="395"/>
      <c r="AT393" s="395"/>
      <c r="AU393" s="395"/>
      <c r="AV393" s="395"/>
      <c r="AW393" s="395"/>
      <c r="AX393" s="395"/>
      <c r="AY393" s="395"/>
      <c r="AZ393" s="395"/>
      <c r="BA393" s="395"/>
      <c r="BB393" s="395"/>
      <c r="BC393" s="395"/>
      <c r="BD393" s="395"/>
      <c r="BE393" s="395"/>
      <c r="BF393" s="395"/>
      <c r="BG393" s="395"/>
      <c r="BH393" s="395"/>
      <c r="BI393" s="395"/>
      <c r="BJ393" s="395"/>
      <c r="BK393" s="395"/>
      <c r="BL393" s="395"/>
      <c r="BM393" s="395"/>
      <c r="BN393" s="395"/>
      <c r="BO393" s="395"/>
      <c r="BP393" s="395"/>
      <c r="BQ393" s="395"/>
      <c r="BR393" s="395"/>
      <c r="BS393" s="395"/>
      <c r="BT393" s="395"/>
      <c r="BU393" s="395"/>
      <c r="BV393" s="395"/>
      <c r="BW393" s="395"/>
      <c r="BX393" s="395"/>
      <c r="BY393" s="395"/>
      <c r="BZ393" s="395"/>
      <c r="CA393" s="395"/>
      <c r="CB393" s="395"/>
      <c r="CC393" s="395"/>
      <c r="CD393" s="395"/>
      <c r="CE393" s="395"/>
      <c r="CF393" s="395"/>
      <c r="CG393" s="395"/>
      <c r="CH393" s="395"/>
      <c r="CI393" s="395"/>
      <c r="CJ393" s="395"/>
      <c r="CK393" s="395"/>
      <c r="CL393" s="395"/>
      <c r="CM393" s="395"/>
      <c r="CN393" s="395"/>
      <c r="CO393" s="395"/>
      <c r="CP393" s="395"/>
      <c r="CQ393" s="395"/>
      <c r="CR393" s="395"/>
      <c r="CS393" s="395"/>
      <c r="CT393" s="395"/>
    </row>
    <row r="394" spans="2:98" x14ac:dyDescent="0.3">
      <c r="B394" s="96"/>
      <c r="C394" s="96"/>
      <c r="D394" s="96"/>
      <c r="E394" s="96"/>
      <c r="F394" s="96"/>
      <c r="G394" s="87"/>
      <c r="H394" s="182"/>
      <c r="K394" s="87"/>
      <c r="L394" s="87"/>
      <c r="M394" s="87"/>
      <c r="N394" s="87"/>
      <c r="R394" s="395"/>
      <c r="S394" s="395"/>
      <c r="T394" s="395"/>
      <c r="U394" s="395"/>
      <c r="V394" s="395"/>
      <c r="W394" s="395"/>
      <c r="X394" s="395"/>
      <c r="Y394" s="395"/>
      <c r="Z394" s="395"/>
      <c r="AA394" s="395"/>
      <c r="AB394" s="395"/>
      <c r="AC394" s="395"/>
      <c r="AD394" s="395"/>
      <c r="AE394" s="395"/>
      <c r="AF394" s="395"/>
      <c r="AG394" s="395"/>
      <c r="AH394" s="395"/>
      <c r="AI394" s="395"/>
      <c r="AJ394" s="395"/>
      <c r="AK394" s="395"/>
      <c r="AL394" s="395"/>
      <c r="AM394" s="395"/>
      <c r="AN394" s="395"/>
      <c r="AO394" s="395"/>
      <c r="AP394" s="395"/>
      <c r="AQ394" s="395"/>
      <c r="AR394" s="395"/>
      <c r="AS394" s="395"/>
      <c r="AT394" s="395"/>
      <c r="AU394" s="395"/>
      <c r="AV394" s="395"/>
      <c r="AW394" s="395"/>
      <c r="AX394" s="395"/>
      <c r="AY394" s="395"/>
      <c r="AZ394" s="395"/>
      <c r="BA394" s="395"/>
      <c r="BB394" s="395"/>
      <c r="BC394" s="395"/>
      <c r="BD394" s="395"/>
      <c r="BE394" s="395"/>
      <c r="BF394" s="395"/>
      <c r="BG394" s="395"/>
      <c r="BH394" s="395"/>
      <c r="BI394" s="395"/>
      <c r="BJ394" s="395"/>
      <c r="BK394" s="395"/>
      <c r="BL394" s="395"/>
      <c r="BM394" s="395"/>
      <c r="BN394" s="395"/>
      <c r="BO394" s="395"/>
      <c r="BP394" s="395"/>
      <c r="BQ394" s="395"/>
      <c r="BR394" s="395"/>
      <c r="BS394" s="395"/>
      <c r="BT394" s="395"/>
      <c r="BU394" s="395"/>
      <c r="BV394" s="395"/>
      <c r="BW394" s="395"/>
      <c r="BX394" s="395"/>
      <c r="BY394" s="395"/>
      <c r="BZ394" s="395"/>
      <c r="CA394" s="395"/>
      <c r="CB394" s="395"/>
      <c r="CC394" s="395"/>
      <c r="CD394" s="395"/>
      <c r="CE394" s="395"/>
      <c r="CF394" s="395"/>
      <c r="CG394" s="395"/>
      <c r="CH394" s="395"/>
      <c r="CI394" s="395"/>
      <c r="CJ394" s="395"/>
      <c r="CK394" s="395"/>
      <c r="CL394" s="395"/>
      <c r="CM394" s="395"/>
      <c r="CN394" s="395"/>
      <c r="CO394" s="395"/>
      <c r="CP394" s="395"/>
      <c r="CQ394" s="395"/>
      <c r="CR394" s="395"/>
      <c r="CS394" s="395"/>
      <c r="CT394" s="395"/>
    </row>
    <row r="395" spans="2:98" x14ac:dyDescent="0.3">
      <c r="B395" s="96"/>
      <c r="C395" s="96"/>
      <c r="D395" s="96"/>
      <c r="E395" s="96"/>
      <c r="F395" s="96"/>
      <c r="G395" s="87"/>
      <c r="H395" s="182"/>
      <c r="K395" s="87"/>
      <c r="L395" s="87"/>
      <c r="M395" s="87"/>
      <c r="N395" s="87"/>
      <c r="R395" s="395"/>
      <c r="S395" s="395"/>
      <c r="T395" s="395"/>
      <c r="U395" s="395"/>
      <c r="V395" s="395"/>
      <c r="W395" s="395"/>
      <c r="X395" s="395"/>
      <c r="Y395" s="395"/>
      <c r="Z395" s="395"/>
      <c r="AA395" s="395"/>
      <c r="AB395" s="395"/>
      <c r="AC395" s="395"/>
      <c r="AD395" s="395"/>
      <c r="AE395" s="395"/>
      <c r="AF395" s="395"/>
      <c r="AG395" s="395"/>
      <c r="AH395" s="395"/>
      <c r="AI395" s="395"/>
      <c r="AJ395" s="395"/>
      <c r="AK395" s="395"/>
      <c r="AL395" s="395"/>
      <c r="AM395" s="395"/>
      <c r="AN395" s="395"/>
      <c r="AO395" s="395"/>
      <c r="AP395" s="395"/>
      <c r="AQ395" s="395"/>
      <c r="AR395" s="395"/>
      <c r="AS395" s="395"/>
      <c r="AT395" s="395"/>
      <c r="AU395" s="395"/>
      <c r="AV395" s="395"/>
      <c r="AW395" s="395"/>
      <c r="AX395" s="395"/>
      <c r="AY395" s="395"/>
      <c r="AZ395" s="395"/>
      <c r="BA395" s="395"/>
      <c r="BB395" s="395"/>
      <c r="BC395" s="395"/>
      <c r="BD395" s="395"/>
      <c r="BE395" s="395"/>
      <c r="BF395" s="395"/>
      <c r="BG395" s="395"/>
      <c r="BH395" s="395"/>
      <c r="BI395" s="395"/>
      <c r="BJ395" s="395"/>
      <c r="BK395" s="395"/>
      <c r="BL395" s="395"/>
      <c r="BM395" s="395"/>
      <c r="BN395" s="395"/>
      <c r="BO395" s="395"/>
      <c r="BP395" s="395"/>
      <c r="BQ395" s="395"/>
      <c r="BR395" s="395"/>
      <c r="BS395" s="395"/>
      <c r="BT395" s="395"/>
      <c r="BU395" s="395"/>
      <c r="BV395" s="395"/>
      <c r="BW395" s="395"/>
      <c r="BX395" s="395"/>
      <c r="BY395" s="395"/>
      <c r="BZ395" s="395"/>
      <c r="CA395" s="395"/>
      <c r="CB395" s="395"/>
      <c r="CC395" s="395"/>
      <c r="CD395" s="395"/>
      <c r="CE395" s="395"/>
      <c r="CF395" s="395"/>
      <c r="CG395" s="395"/>
      <c r="CH395" s="395"/>
      <c r="CI395" s="395"/>
      <c r="CJ395" s="395"/>
      <c r="CK395" s="395"/>
      <c r="CL395" s="395"/>
      <c r="CM395" s="395"/>
      <c r="CN395" s="395"/>
      <c r="CO395" s="395"/>
      <c r="CP395" s="395"/>
      <c r="CQ395" s="395"/>
      <c r="CR395" s="395"/>
      <c r="CS395" s="395"/>
      <c r="CT395" s="395"/>
    </row>
    <row r="396" spans="2:98" x14ac:dyDescent="0.3">
      <c r="B396" s="96"/>
      <c r="C396" s="96"/>
      <c r="D396" s="96"/>
      <c r="E396" s="96"/>
      <c r="F396" s="96"/>
      <c r="G396" s="87"/>
      <c r="H396" s="182"/>
      <c r="K396" s="87"/>
      <c r="L396" s="87"/>
      <c r="M396" s="87"/>
      <c r="N396" s="87"/>
      <c r="R396" s="395"/>
      <c r="S396" s="395"/>
      <c r="T396" s="395"/>
      <c r="U396" s="395"/>
      <c r="V396" s="395"/>
      <c r="W396" s="395"/>
      <c r="X396" s="395"/>
      <c r="Y396" s="395"/>
      <c r="Z396" s="395"/>
      <c r="AA396" s="395"/>
      <c r="AB396" s="395"/>
      <c r="AC396" s="395"/>
      <c r="AD396" s="395"/>
      <c r="AE396" s="395"/>
      <c r="AF396" s="395"/>
      <c r="AG396" s="395"/>
      <c r="AH396" s="395"/>
      <c r="AI396" s="395"/>
      <c r="AJ396" s="395"/>
      <c r="AK396" s="395"/>
      <c r="AL396" s="395"/>
      <c r="AM396" s="395"/>
      <c r="AN396" s="395"/>
      <c r="AO396" s="395"/>
      <c r="AP396" s="395"/>
      <c r="AQ396" s="395"/>
      <c r="AR396" s="395"/>
      <c r="AS396" s="395"/>
      <c r="AT396" s="395"/>
      <c r="AU396" s="395"/>
      <c r="AV396" s="395"/>
      <c r="AW396" s="395"/>
      <c r="AX396" s="395"/>
      <c r="AY396" s="395"/>
      <c r="AZ396" s="395"/>
      <c r="BA396" s="395"/>
      <c r="BB396" s="395"/>
      <c r="BC396" s="395"/>
      <c r="BD396" s="395"/>
      <c r="BE396" s="395"/>
      <c r="BF396" s="395"/>
      <c r="BG396" s="395"/>
      <c r="BH396" s="395"/>
      <c r="BI396" s="395"/>
      <c r="BJ396" s="395"/>
      <c r="BK396" s="395"/>
      <c r="BL396" s="395"/>
      <c r="BM396" s="395"/>
      <c r="BN396" s="395"/>
      <c r="BO396" s="395"/>
      <c r="BP396" s="395"/>
      <c r="BQ396" s="395"/>
      <c r="BR396" s="395"/>
      <c r="BS396" s="395"/>
      <c r="BT396" s="395"/>
      <c r="BU396" s="395"/>
      <c r="BV396" s="395"/>
      <c r="BW396" s="395"/>
      <c r="BX396" s="395"/>
      <c r="BY396" s="395"/>
      <c r="BZ396" s="395"/>
      <c r="CA396" s="395"/>
      <c r="CB396" s="395"/>
      <c r="CC396" s="395"/>
      <c r="CD396" s="395"/>
      <c r="CE396" s="395"/>
      <c r="CF396" s="395"/>
      <c r="CG396" s="395"/>
      <c r="CH396" s="395"/>
      <c r="CI396" s="395"/>
      <c r="CJ396" s="395"/>
      <c r="CK396" s="395"/>
      <c r="CL396" s="395"/>
      <c r="CM396" s="395"/>
      <c r="CN396" s="395"/>
      <c r="CO396" s="395"/>
      <c r="CP396" s="395"/>
      <c r="CQ396" s="395"/>
      <c r="CR396" s="395"/>
      <c r="CS396" s="395"/>
      <c r="CT396" s="395"/>
    </row>
    <row r="397" spans="2:98" x14ac:dyDescent="0.3">
      <c r="B397" s="96"/>
      <c r="C397" s="96"/>
      <c r="D397" s="96"/>
      <c r="E397" s="96"/>
      <c r="F397" s="96"/>
      <c r="G397" s="87"/>
      <c r="H397" s="182"/>
      <c r="K397" s="87"/>
      <c r="L397" s="87"/>
      <c r="M397" s="87"/>
      <c r="N397" s="87"/>
      <c r="R397" s="395"/>
      <c r="S397" s="395"/>
      <c r="T397" s="395"/>
      <c r="U397" s="395"/>
      <c r="V397" s="395"/>
      <c r="W397" s="395"/>
      <c r="X397" s="395"/>
      <c r="Y397" s="395"/>
      <c r="Z397" s="395"/>
      <c r="AA397" s="395"/>
      <c r="AB397" s="395"/>
      <c r="AC397" s="395"/>
      <c r="AD397" s="395"/>
      <c r="AE397" s="395"/>
      <c r="AF397" s="395"/>
      <c r="AG397" s="395"/>
      <c r="AH397" s="395"/>
      <c r="AI397" s="395"/>
      <c r="AJ397" s="395"/>
      <c r="AK397" s="395"/>
      <c r="AL397" s="395"/>
      <c r="AM397" s="395"/>
      <c r="AN397" s="395"/>
      <c r="AO397" s="395"/>
      <c r="AP397" s="395"/>
      <c r="AQ397" s="395"/>
      <c r="AR397" s="395"/>
      <c r="AS397" s="395"/>
      <c r="AT397" s="395"/>
      <c r="AU397" s="395"/>
      <c r="AV397" s="395"/>
      <c r="AW397" s="395"/>
      <c r="AX397" s="395"/>
      <c r="AY397" s="395"/>
      <c r="AZ397" s="395"/>
      <c r="BA397" s="395"/>
      <c r="BB397" s="395"/>
      <c r="BC397" s="395"/>
      <c r="BD397" s="395"/>
      <c r="BE397" s="395"/>
      <c r="BF397" s="395"/>
      <c r="BG397" s="395"/>
      <c r="BH397" s="395"/>
      <c r="BI397" s="395"/>
      <c r="BJ397" s="395"/>
      <c r="BK397" s="395"/>
      <c r="BL397" s="395"/>
      <c r="BM397" s="395"/>
      <c r="BN397" s="395"/>
      <c r="BO397" s="395"/>
      <c r="BP397" s="395"/>
      <c r="BQ397" s="395"/>
      <c r="BR397" s="395"/>
      <c r="BS397" s="395"/>
      <c r="BT397" s="395"/>
      <c r="BU397" s="395"/>
      <c r="BV397" s="395"/>
      <c r="BW397" s="395"/>
      <c r="BX397" s="395"/>
      <c r="BY397" s="395"/>
      <c r="BZ397" s="395"/>
      <c r="CA397" s="395"/>
      <c r="CB397" s="395"/>
      <c r="CC397" s="395"/>
      <c r="CD397" s="395"/>
      <c r="CE397" s="395"/>
      <c r="CF397" s="395"/>
      <c r="CG397" s="395"/>
      <c r="CH397" s="395"/>
      <c r="CI397" s="395"/>
      <c r="CJ397" s="395"/>
      <c r="CK397" s="395"/>
      <c r="CL397" s="395"/>
      <c r="CM397" s="395"/>
      <c r="CN397" s="395"/>
      <c r="CO397" s="395"/>
      <c r="CP397" s="395"/>
      <c r="CQ397" s="395"/>
      <c r="CR397" s="395"/>
      <c r="CS397" s="395"/>
      <c r="CT397" s="395"/>
    </row>
    <row r="398" spans="2:98" x14ac:dyDescent="0.3">
      <c r="B398" s="96"/>
      <c r="C398" s="96"/>
      <c r="D398" s="96"/>
      <c r="E398" s="96"/>
      <c r="F398" s="96"/>
      <c r="G398" s="87"/>
      <c r="H398" s="182"/>
      <c r="K398" s="87"/>
      <c r="L398" s="87"/>
      <c r="M398" s="87"/>
      <c r="N398" s="87"/>
      <c r="R398" s="395"/>
      <c r="S398" s="395"/>
      <c r="T398" s="395"/>
      <c r="U398" s="395"/>
      <c r="V398" s="395"/>
      <c r="W398" s="395"/>
      <c r="X398" s="395"/>
      <c r="Y398" s="395"/>
      <c r="Z398" s="395"/>
      <c r="AA398" s="395"/>
      <c r="AB398" s="395"/>
      <c r="AC398" s="395"/>
      <c r="AD398" s="395"/>
      <c r="AE398" s="395"/>
      <c r="AF398" s="395"/>
      <c r="AG398" s="395"/>
      <c r="AH398" s="395"/>
      <c r="AI398" s="395"/>
      <c r="AJ398" s="395"/>
      <c r="AK398" s="395"/>
      <c r="AL398" s="395"/>
      <c r="AM398" s="395"/>
      <c r="AN398" s="395"/>
      <c r="AO398" s="395"/>
      <c r="AP398" s="395"/>
      <c r="AQ398" s="395"/>
      <c r="AR398" s="395"/>
      <c r="AS398" s="395"/>
      <c r="AT398" s="395"/>
      <c r="AU398" s="395"/>
      <c r="AV398" s="395"/>
      <c r="AW398" s="395"/>
      <c r="AX398" s="395"/>
      <c r="AY398" s="395"/>
      <c r="AZ398" s="395"/>
      <c r="BA398" s="395"/>
      <c r="BB398" s="395"/>
      <c r="BC398" s="395"/>
      <c r="BD398" s="395"/>
      <c r="BE398" s="395"/>
      <c r="BF398" s="395"/>
      <c r="BG398" s="395"/>
      <c r="BH398" s="395"/>
      <c r="BI398" s="395"/>
      <c r="BJ398" s="395"/>
      <c r="BK398" s="395"/>
      <c r="BL398" s="395"/>
      <c r="BM398" s="395"/>
      <c r="BN398" s="395"/>
      <c r="BO398" s="395"/>
      <c r="BP398" s="395"/>
      <c r="BQ398" s="395"/>
      <c r="BR398" s="395"/>
      <c r="BS398" s="395"/>
      <c r="BT398" s="395"/>
      <c r="BU398" s="395"/>
      <c r="BV398" s="395"/>
      <c r="BW398" s="395"/>
      <c r="BX398" s="395"/>
      <c r="BY398" s="395"/>
      <c r="BZ398" s="395"/>
      <c r="CA398" s="395"/>
      <c r="CB398" s="395"/>
      <c r="CC398" s="395"/>
      <c r="CD398" s="395"/>
      <c r="CE398" s="395"/>
      <c r="CF398" s="395"/>
      <c r="CG398" s="395"/>
      <c r="CH398" s="395"/>
      <c r="CI398" s="395"/>
      <c r="CJ398" s="395"/>
      <c r="CK398" s="395"/>
      <c r="CL398" s="395"/>
      <c r="CM398" s="395"/>
      <c r="CN398" s="395"/>
      <c r="CO398" s="395"/>
      <c r="CP398" s="395"/>
      <c r="CQ398" s="395"/>
      <c r="CR398" s="395"/>
      <c r="CS398" s="395"/>
      <c r="CT398" s="395"/>
    </row>
    <row r="399" spans="2:98" x14ac:dyDescent="0.3">
      <c r="B399" s="96"/>
      <c r="C399" s="96"/>
      <c r="D399" s="96"/>
      <c r="E399" s="96"/>
      <c r="F399" s="96"/>
      <c r="G399" s="87"/>
      <c r="H399" s="182"/>
      <c r="K399" s="87"/>
      <c r="L399" s="87"/>
      <c r="M399" s="87"/>
      <c r="N399" s="87"/>
      <c r="R399" s="395"/>
      <c r="S399" s="395"/>
      <c r="T399" s="395"/>
      <c r="U399" s="395"/>
      <c r="V399" s="395"/>
      <c r="W399" s="395"/>
      <c r="X399" s="395"/>
      <c r="Y399" s="395"/>
      <c r="Z399" s="395"/>
      <c r="AA399" s="395"/>
      <c r="AB399" s="395"/>
      <c r="AC399" s="395"/>
      <c r="AD399" s="395"/>
      <c r="AE399" s="395"/>
      <c r="AF399" s="395"/>
      <c r="AG399" s="395"/>
      <c r="AH399" s="395"/>
      <c r="AI399" s="395"/>
      <c r="AJ399" s="395"/>
      <c r="AK399" s="395"/>
      <c r="AL399" s="395"/>
      <c r="AM399" s="395"/>
      <c r="AN399" s="395"/>
      <c r="AO399" s="395"/>
      <c r="AP399" s="395"/>
      <c r="AQ399" s="395"/>
      <c r="AR399" s="395"/>
      <c r="AS399" s="395"/>
      <c r="AT399" s="395"/>
      <c r="AU399" s="395"/>
      <c r="AV399" s="395"/>
      <c r="AW399" s="395"/>
      <c r="AX399" s="395"/>
      <c r="AY399" s="395"/>
      <c r="AZ399" s="395"/>
      <c r="BA399" s="395"/>
      <c r="BB399" s="395"/>
      <c r="BC399" s="395"/>
      <c r="BD399" s="395"/>
      <c r="BE399" s="395"/>
      <c r="BF399" s="395"/>
      <c r="BG399" s="395"/>
      <c r="BH399" s="395"/>
      <c r="BI399" s="395"/>
      <c r="BJ399" s="395"/>
      <c r="BK399" s="395"/>
      <c r="BL399" s="395"/>
      <c r="BM399" s="395"/>
      <c r="BN399" s="395"/>
      <c r="BO399" s="395"/>
      <c r="BP399" s="395"/>
      <c r="BQ399" s="395"/>
      <c r="BR399" s="395"/>
      <c r="BS399" s="395"/>
      <c r="BT399" s="395"/>
      <c r="BU399" s="395"/>
      <c r="BV399" s="395"/>
      <c r="BW399" s="395"/>
      <c r="BX399" s="395"/>
      <c r="BY399" s="395"/>
      <c r="BZ399" s="395"/>
      <c r="CA399" s="395"/>
      <c r="CB399" s="395"/>
      <c r="CC399" s="395"/>
      <c r="CD399" s="395"/>
      <c r="CE399" s="395"/>
      <c r="CF399" s="395"/>
      <c r="CG399" s="395"/>
      <c r="CH399" s="395"/>
      <c r="CI399" s="395"/>
      <c r="CJ399" s="395"/>
      <c r="CK399" s="395"/>
      <c r="CL399" s="395"/>
      <c r="CM399" s="395"/>
      <c r="CN399" s="395"/>
      <c r="CO399" s="395"/>
      <c r="CP399" s="395"/>
      <c r="CQ399" s="395"/>
      <c r="CR399" s="395"/>
      <c r="CS399" s="395"/>
      <c r="CT399" s="395"/>
    </row>
    <row r="400" spans="2:98" x14ac:dyDescent="0.3">
      <c r="B400" s="96"/>
      <c r="C400" s="96"/>
      <c r="D400" s="96"/>
      <c r="E400" s="96"/>
      <c r="F400" s="96"/>
      <c r="G400" s="87"/>
      <c r="H400" s="182"/>
      <c r="K400" s="87"/>
      <c r="L400" s="87"/>
      <c r="M400" s="87"/>
      <c r="N400" s="87"/>
      <c r="R400" s="395"/>
      <c r="S400" s="395"/>
      <c r="T400" s="395"/>
      <c r="U400" s="395"/>
      <c r="V400" s="395"/>
      <c r="W400" s="395"/>
      <c r="X400" s="395"/>
      <c r="Y400" s="395"/>
      <c r="Z400" s="395"/>
      <c r="AA400" s="395"/>
      <c r="AB400" s="395"/>
      <c r="AC400" s="395"/>
      <c r="AD400" s="395"/>
      <c r="AE400" s="395"/>
      <c r="AF400" s="395"/>
      <c r="AG400" s="395"/>
      <c r="AH400" s="395"/>
      <c r="AI400" s="395"/>
      <c r="AJ400" s="395"/>
      <c r="AK400" s="395"/>
      <c r="AL400" s="395"/>
      <c r="AM400" s="395"/>
      <c r="AN400" s="395"/>
      <c r="AO400" s="395"/>
      <c r="AP400" s="395"/>
      <c r="AQ400" s="395"/>
      <c r="AR400" s="395"/>
      <c r="AS400" s="395"/>
      <c r="AT400" s="395"/>
      <c r="AU400" s="395"/>
      <c r="AV400" s="395"/>
      <c r="AW400" s="395"/>
      <c r="AX400" s="395"/>
      <c r="AY400" s="395"/>
      <c r="AZ400" s="395"/>
      <c r="BA400" s="395"/>
      <c r="BB400" s="395"/>
      <c r="BC400" s="395"/>
      <c r="BD400" s="395"/>
      <c r="BE400" s="395"/>
      <c r="BF400" s="395"/>
      <c r="BG400" s="395"/>
      <c r="BH400" s="395"/>
      <c r="BI400" s="395"/>
      <c r="BJ400" s="395"/>
      <c r="BK400" s="395"/>
      <c r="BL400" s="395"/>
      <c r="BM400" s="395"/>
      <c r="BN400" s="395"/>
      <c r="BO400" s="395"/>
      <c r="BP400" s="395"/>
      <c r="BQ400" s="395"/>
      <c r="BR400" s="395"/>
      <c r="BS400" s="395"/>
      <c r="BT400" s="395"/>
      <c r="BU400" s="395"/>
      <c r="BV400" s="395"/>
      <c r="BW400" s="395"/>
      <c r="BX400" s="395"/>
      <c r="BY400" s="395"/>
      <c r="BZ400" s="395"/>
      <c r="CA400" s="395"/>
      <c r="CB400" s="395"/>
      <c r="CC400" s="395"/>
      <c r="CD400" s="395"/>
      <c r="CE400" s="395"/>
      <c r="CF400" s="395"/>
      <c r="CG400" s="395"/>
      <c r="CH400" s="395"/>
      <c r="CI400" s="395"/>
      <c r="CJ400" s="395"/>
      <c r="CK400" s="395"/>
      <c r="CL400" s="395"/>
      <c r="CM400" s="395"/>
      <c r="CN400" s="395"/>
      <c r="CO400" s="395"/>
      <c r="CP400" s="395"/>
      <c r="CQ400" s="395"/>
      <c r="CR400" s="395"/>
      <c r="CS400" s="395"/>
      <c r="CT400" s="395"/>
    </row>
    <row r="401" spans="2:98" x14ac:dyDescent="0.3">
      <c r="B401" s="96"/>
      <c r="C401" s="96"/>
      <c r="D401" s="96"/>
      <c r="E401" s="96"/>
      <c r="F401" s="96"/>
      <c r="G401" s="87"/>
      <c r="H401" s="182"/>
      <c r="K401" s="87"/>
      <c r="L401" s="87"/>
      <c r="M401" s="87"/>
      <c r="N401" s="87"/>
      <c r="R401" s="395"/>
      <c r="S401" s="395"/>
      <c r="T401" s="395"/>
      <c r="U401" s="395"/>
      <c r="V401" s="395"/>
      <c r="W401" s="395"/>
      <c r="X401" s="395"/>
      <c r="Y401" s="395"/>
      <c r="Z401" s="395"/>
      <c r="AA401" s="395"/>
      <c r="AB401" s="395"/>
      <c r="AC401" s="395"/>
      <c r="AD401" s="395"/>
      <c r="AE401" s="395"/>
      <c r="AF401" s="395"/>
      <c r="AG401" s="395"/>
      <c r="AH401" s="395"/>
      <c r="AI401" s="395"/>
      <c r="AJ401" s="395"/>
      <c r="AK401" s="395"/>
      <c r="AL401" s="395"/>
      <c r="AM401" s="395"/>
      <c r="AN401" s="395"/>
      <c r="AO401" s="395"/>
      <c r="AP401" s="395"/>
      <c r="AQ401" s="395"/>
      <c r="AR401" s="395"/>
      <c r="AS401" s="395"/>
      <c r="AT401" s="395"/>
      <c r="AU401" s="395"/>
      <c r="AV401" s="395"/>
      <c r="AW401" s="395"/>
      <c r="AX401" s="395"/>
      <c r="AY401" s="395"/>
      <c r="AZ401" s="395"/>
      <c r="BA401" s="395"/>
      <c r="BB401" s="395"/>
      <c r="BC401" s="395"/>
      <c r="BD401" s="395"/>
      <c r="BE401" s="395"/>
      <c r="BF401" s="395"/>
      <c r="BG401" s="395"/>
      <c r="BH401" s="395"/>
      <c r="BI401" s="395"/>
      <c r="BJ401" s="395"/>
      <c r="BK401" s="395"/>
      <c r="BL401" s="395"/>
      <c r="BM401" s="395"/>
      <c r="BN401" s="395"/>
      <c r="BO401" s="395"/>
      <c r="BP401" s="395"/>
      <c r="BQ401" s="395"/>
      <c r="BR401" s="395"/>
      <c r="BS401" s="395"/>
      <c r="BT401" s="395"/>
      <c r="BU401" s="395"/>
      <c r="BV401" s="395"/>
      <c r="BW401" s="395"/>
      <c r="BX401" s="395"/>
      <c r="BY401" s="395"/>
      <c r="BZ401" s="395"/>
      <c r="CA401" s="395"/>
      <c r="CB401" s="395"/>
      <c r="CC401" s="395"/>
      <c r="CD401" s="395"/>
      <c r="CE401" s="395"/>
      <c r="CF401" s="395"/>
      <c r="CG401" s="395"/>
      <c r="CH401" s="395"/>
      <c r="CI401" s="395"/>
      <c r="CJ401" s="395"/>
      <c r="CK401" s="395"/>
      <c r="CL401" s="395"/>
      <c r="CM401" s="395"/>
      <c r="CN401" s="395"/>
      <c r="CO401" s="395"/>
      <c r="CP401" s="395"/>
      <c r="CQ401" s="395"/>
      <c r="CR401" s="395"/>
      <c r="CS401" s="395"/>
      <c r="CT401" s="395"/>
    </row>
    <row r="402" spans="2:98" x14ac:dyDescent="0.3">
      <c r="B402" s="96"/>
      <c r="C402" s="96"/>
      <c r="D402" s="96"/>
      <c r="E402" s="96"/>
      <c r="F402" s="96"/>
      <c r="G402" s="87"/>
      <c r="H402" s="182"/>
      <c r="K402" s="87"/>
      <c r="L402" s="87"/>
      <c r="M402" s="87"/>
      <c r="N402" s="87"/>
      <c r="R402" s="395"/>
      <c r="S402" s="395"/>
      <c r="T402" s="395"/>
      <c r="U402" s="395"/>
      <c r="V402" s="395"/>
      <c r="W402" s="395"/>
      <c r="X402" s="395"/>
      <c r="Y402" s="395"/>
      <c r="Z402" s="395"/>
      <c r="AA402" s="395"/>
      <c r="AB402" s="395"/>
      <c r="AC402" s="395"/>
      <c r="AD402" s="395"/>
      <c r="AE402" s="395"/>
      <c r="AF402" s="395"/>
      <c r="AG402" s="395"/>
      <c r="AH402" s="395"/>
      <c r="AI402" s="395"/>
      <c r="AJ402" s="395"/>
      <c r="AK402" s="395"/>
      <c r="AL402" s="395"/>
      <c r="AM402" s="395"/>
      <c r="AN402" s="395"/>
      <c r="AO402" s="395"/>
      <c r="AP402" s="395"/>
      <c r="AQ402" s="395"/>
      <c r="AR402" s="395"/>
      <c r="AS402" s="395"/>
      <c r="AT402" s="395"/>
      <c r="AU402" s="395"/>
      <c r="AV402" s="395"/>
      <c r="AW402" s="395"/>
      <c r="AX402" s="395"/>
      <c r="AY402" s="395"/>
      <c r="AZ402" s="395"/>
      <c r="BA402" s="395"/>
      <c r="BB402" s="395"/>
      <c r="BC402" s="395"/>
      <c r="BD402" s="395"/>
      <c r="BE402" s="395"/>
      <c r="BF402" s="395"/>
      <c r="BG402" s="395"/>
      <c r="BH402" s="395"/>
      <c r="BI402" s="395"/>
      <c r="BJ402" s="395"/>
      <c r="BK402" s="395"/>
      <c r="BL402" s="395"/>
      <c r="BM402" s="395"/>
      <c r="BN402" s="395"/>
      <c r="BO402" s="395"/>
      <c r="BP402" s="395"/>
      <c r="BQ402" s="395"/>
      <c r="BR402" s="395"/>
      <c r="BS402" s="395"/>
      <c r="BT402" s="395"/>
      <c r="BU402" s="395"/>
      <c r="BV402" s="395"/>
      <c r="BW402" s="395"/>
      <c r="BX402" s="395"/>
      <c r="BY402" s="395"/>
      <c r="BZ402" s="395"/>
      <c r="CA402" s="395"/>
      <c r="CB402" s="395"/>
      <c r="CC402" s="395"/>
      <c r="CD402" s="395"/>
      <c r="CE402" s="395"/>
      <c r="CF402" s="395"/>
      <c r="CG402" s="395"/>
      <c r="CH402" s="395"/>
      <c r="CI402" s="395"/>
      <c r="CJ402" s="395"/>
      <c r="CK402" s="395"/>
      <c r="CL402" s="395"/>
      <c r="CM402" s="395"/>
      <c r="CN402" s="395"/>
      <c r="CO402" s="395"/>
      <c r="CP402" s="395"/>
      <c r="CQ402" s="395"/>
      <c r="CR402" s="395"/>
      <c r="CS402" s="395"/>
      <c r="CT402" s="395"/>
    </row>
    <row r="403" spans="2:98" x14ac:dyDescent="0.3">
      <c r="B403" s="96"/>
      <c r="C403" s="96"/>
      <c r="D403" s="96"/>
      <c r="E403" s="96"/>
      <c r="F403" s="96"/>
      <c r="G403" s="87"/>
      <c r="H403" s="182"/>
      <c r="K403" s="87"/>
      <c r="L403" s="87"/>
      <c r="M403" s="87"/>
      <c r="N403" s="87"/>
      <c r="R403" s="395"/>
      <c r="S403" s="395"/>
      <c r="T403" s="395"/>
      <c r="U403" s="395"/>
      <c r="V403" s="395"/>
      <c r="W403" s="395"/>
      <c r="X403" s="395"/>
      <c r="Y403" s="395"/>
      <c r="Z403" s="395"/>
      <c r="AA403" s="395"/>
      <c r="AB403" s="395"/>
      <c r="AC403" s="395"/>
      <c r="AD403" s="395"/>
      <c r="AE403" s="395"/>
      <c r="AF403" s="395"/>
      <c r="AG403" s="395"/>
      <c r="AH403" s="395"/>
      <c r="AI403" s="395"/>
      <c r="AJ403" s="395"/>
      <c r="AK403" s="395"/>
      <c r="AL403" s="395"/>
      <c r="AM403" s="395"/>
      <c r="AN403" s="395"/>
      <c r="AO403" s="395"/>
      <c r="AP403" s="395"/>
      <c r="AQ403" s="395"/>
      <c r="AR403" s="395"/>
      <c r="AS403" s="395"/>
      <c r="AT403" s="395"/>
      <c r="AU403" s="395"/>
      <c r="AV403" s="395"/>
      <c r="AW403" s="395"/>
      <c r="AX403" s="395"/>
      <c r="AY403" s="395"/>
      <c r="AZ403" s="395"/>
      <c r="BA403" s="395"/>
      <c r="BB403" s="395"/>
      <c r="BC403" s="395"/>
      <c r="BD403" s="395"/>
      <c r="BE403" s="395"/>
      <c r="BF403" s="395"/>
      <c r="BG403" s="395"/>
      <c r="BH403" s="395"/>
      <c r="BI403" s="395"/>
      <c r="BJ403" s="395"/>
      <c r="BK403" s="395"/>
      <c r="BL403" s="395"/>
      <c r="BM403" s="395"/>
      <c r="BN403" s="395"/>
      <c r="BO403" s="395"/>
      <c r="BP403" s="395"/>
      <c r="BQ403" s="395"/>
      <c r="BR403" s="395"/>
      <c r="BS403" s="395"/>
      <c r="BT403" s="395"/>
      <c r="BU403" s="395"/>
      <c r="BV403" s="395"/>
      <c r="BW403" s="395"/>
      <c r="BX403" s="395"/>
      <c r="BY403" s="395"/>
      <c r="BZ403" s="395"/>
      <c r="CA403" s="395"/>
      <c r="CB403" s="395"/>
      <c r="CC403" s="395"/>
      <c r="CD403" s="395"/>
      <c r="CE403" s="395"/>
      <c r="CF403" s="395"/>
      <c r="CG403" s="395"/>
      <c r="CH403" s="395"/>
      <c r="CI403" s="395"/>
      <c r="CJ403" s="395"/>
      <c r="CK403" s="395"/>
      <c r="CL403" s="395"/>
      <c r="CM403" s="395"/>
      <c r="CN403" s="395"/>
      <c r="CO403" s="395"/>
      <c r="CP403" s="395"/>
      <c r="CQ403" s="395"/>
      <c r="CR403" s="395"/>
      <c r="CS403" s="395"/>
      <c r="CT403" s="395"/>
    </row>
    <row r="404" spans="2:98" x14ac:dyDescent="0.3">
      <c r="B404" s="96"/>
      <c r="C404" s="96"/>
      <c r="D404" s="96"/>
      <c r="E404" s="96"/>
      <c r="F404" s="96"/>
      <c r="G404" s="87"/>
      <c r="H404" s="182"/>
      <c r="K404" s="87"/>
      <c r="L404" s="87"/>
      <c r="M404" s="87"/>
      <c r="N404" s="87"/>
      <c r="R404" s="395"/>
      <c r="S404" s="395"/>
      <c r="T404" s="395"/>
      <c r="U404" s="395"/>
      <c r="V404" s="395"/>
      <c r="W404" s="395"/>
      <c r="X404" s="395"/>
      <c r="Y404" s="395"/>
      <c r="Z404" s="395"/>
      <c r="AA404" s="395"/>
      <c r="AB404" s="395"/>
      <c r="AC404" s="395"/>
      <c r="AD404" s="395"/>
      <c r="AE404" s="395"/>
      <c r="AF404" s="395"/>
      <c r="AG404" s="395"/>
      <c r="AH404" s="395"/>
      <c r="AI404" s="395"/>
      <c r="AJ404" s="395"/>
      <c r="AK404" s="395"/>
      <c r="AL404" s="395"/>
      <c r="AM404" s="395"/>
      <c r="AN404" s="395"/>
      <c r="AO404" s="395"/>
      <c r="AP404" s="395"/>
      <c r="AQ404" s="395"/>
      <c r="AR404" s="395"/>
      <c r="AS404" s="395"/>
      <c r="AT404" s="395"/>
      <c r="AU404" s="395"/>
      <c r="AV404" s="395"/>
      <c r="AW404" s="395"/>
      <c r="AX404" s="395"/>
      <c r="AY404" s="395"/>
      <c r="AZ404" s="395"/>
      <c r="BA404" s="395"/>
      <c r="BB404" s="395"/>
      <c r="BC404" s="395"/>
      <c r="BD404" s="395"/>
      <c r="BE404" s="395"/>
      <c r="BF404" s="395"/>
      <c r="BG404" s="395"/>
      <c r="BH404" s="395"/>
      <c r="BI404" s="395"/>
      <c r="BJ404" s="395"/>
      <c r="BK404" s="395"/>
      <c r="BL404" s="395"/>
      <c r="BM404" s="395"/>
      <c r="BN404" s="395"/>
      <c r="BO404" s="395"/>
      <c r="BP404" s="395"/>
      <c r="BQ404" s="395"/>
      <c r="BR404" s="395"/>
      <c r="BS404" s="395"/>
      <c r="BT404" s="395"/>
      <c r="BU404" s="395"/>
      <c r="BV404" s="395"/>
      <c r="BW404" s="395"/>
      <c r="BX404" s="395"/>
      <c r="BY404" s="395"/>
      <c r="BZ404" s="395"/>
      <c r="CA404" s="395"/>
      <c r="CB404" s="395"/>
      <c r="CC404" s="395"/>
      <c r="CD404" s="395"/>
      <c r="CE404" s="395"/>
      <c r="CF404" s="395"/>
      <c r="CG404" s="395"/>
      <c r="CH404" s="395"/>
      <c r="CI404" s="395"/>
      <c r="CJ404" s="395"/>
      <c r="CK404" s="395"/>
      <c r="CL404" s="395"/>
      <c r="CM404" s="395"/>
      <c r="CN404" s="395"/>
      <c r="CO404" s="395"/>
      <c r="CP404" s="395"/>
      <c r="CQ404" s="395"/>
      <c r="CR404" s="395"/>
      <c r="CS404" s="395"/>
      <c r="CT404" s="395"/>
    </row>
    <row r="405" spans="2:98" x14ac:dyDescent="0.3">
      <c r="B405" s="96"/>
      <c r="C405" s="96"/>
      <c r="D405" s="96"/>
      <c r="E405" s="96"/>
      <c r="F405" s="96"/>
      <c r="G405" s="87"/>
      <c r="H405" s="182"/>
      <c r="K405" s="87"/>
      <c r="L405" s="87"/>
      <c r="M405" s="87"/>
      <c r="N405" s="87"/>
      <c r="R405" s="395"/>
      <c r="S405" s="395"/>
      <c r="T405" s="395"/>
      <c r="U405" s="395"/>
      <c r="V405" s="395"/>
      <c r="W405" s="395"/>
      <c r="X405" s="395"/>
      <c r="Y405" s="395"/>
      <c r="Z405" s="395"/>
      <c r="AA405" s="395"/>
      <c r="AB405" s="395"/>
      <c r="AC405" s="395"/>
      <c r="AD405" s="395"/>
      <c r="AE405" s="395"/>
      <c r="AF405" s="395"/>
      <c r="AG405" s="395"/>
      <c r="AH405" s="395"/>
      <c r="AI405" s="395"/>
      <c r="AJ405" s="395"/>
      <c r="AK405" s="395"/>
      <c r="AL405" s="395"/>
      <c r="AM405" s="395"/>
      <c r="AN405" s="395"/>
      <c r="AO405" s="395"/>
      <c r="AP405" s="395"/>
      <c r="AQ405" s="395"/>
      <c r="AR405" s="395"/>
      <c r="AS405" s="395"/>
      <c r="AT405" s="395"/>
      <c r="AU405" s="395"/>
      <c r="AV405" s="395"/>
      <c r="AW405" s="395"/>
      <c r="AX405" s="395"/>
      <c r="AY405" s="395"/>
      <c r="AZ405" s="395"/>
      <c r="BA405" s="395"/>
      <c r="BB405" s="395"/>
      <c r="BC405" s="395"/>
      <c r="BD405" s="395"/>
      <c r="BE405" s="395"/>
      <c r="BF405" s="395"/>
      <c r="BG405" s="395"/>
      <c r="BH405" s="395"/>
      <c r="BI405" s="395"/>
      <c r="BJ405" s="395"/>
      <c r="BK405" s="395"/>
      <c r="BL405" s="395"/>
      <c r="BM405" s="395"/>
      <c r="BN405" s="395"/>
      <c r="BO405" s="395"/>
      <c r="BP405" s="395"/>
      <c r="BQ405" s="395"/>
      <c r="BR405" s="395"/>
      <c r="BS405" s="395"/>
      <c r="BT405" s="395"/>
      <c r="BU405" s="395"/>
      <c r="BV405" s="395"/>
      <c r="BW405" s="395"/>
      <c r="BX405" s="395"/>
      <c r="BY405" s="395"/>
      <c r="BZ405" s="395"/>
      <c r="CA405" s="395"/>
      <c r="CB405" s="395"/>
      <c r="CC405" s="395"/>
      <c r="CD405" s="395"/>
      <c r="CE405" s="395"/>
      <c r="CF405" s="395"/>
      <c r="CG405" s="395"/>
      <c r="CH405" s="395"/>
      <c r="CI405" s="395"/>
      <c r="CJ405" s="395"/>
      <c r="CK405" s="395"/>
      <c r="CL405" s="395"/>
      <c r="CM405" s="395"/>
      <c r="CN405" s="395"/>
      <c r="CO405" s="395"/>
      <c r="CP405" s="395"/>
      <c r="CQ405" s="395"/>
      <c r="CR405" s="395"/>
      <c r="CS405" s="395"/>
      <c r="CT405" s="395"/>
    </row>
    <row r="406" spans="2:98" x14ac:dyDescent="0.3">
      <c r="B406" s="96"/>
      <c r="C406" s="96"/>
      <c r="D406" s="96"/>
      <c r="E406" s="96"/>
      <c r="F406" s="96"/>
      <c r="G406" s="87"/>
      <c r="H406" s="182"/>
      <c r="K406" s="87"/>
      <c r="L406" s="87"/>
      <c r="M406" s="87"/>
      <c r="N406" s="87"/>
      <c r="R406" s="395"/>
      <c r="S406" s="395"/>
      <c r="T406" s="395"/>
      <c r="U406" s="395"/>
      <c r="V406" s="395"/>
      <c r="W406" s="395"/>
      <c r="X406" s="395"/>
      <c r="Y406" s="395"/>
      <c r="Z406" s="395"/>
      <c r="AA406" s="395"/>
      <c r="AB406" s="395"/>
      <c r="AC406" s="395"/>
      <c r="AD406" s="395"/>
      <c r="AE406" s="395"/>
      <c r="AF406" s="395"/>
      <c r="AG406" s="395"/>
      <c r="AH406" s="395"/>
      <c r="AI406" s="395"/>
      <c r="AJ406" s="395"/>
      <c r="AK406" s="395"/>
      <c r="AL406" s="395"/>
      <c r="AM406" s="395"/>
      <c r="AN406" s="395"/>
      <c r="AO406" s="395"/>
      <c r="AP406" s="395"/>
      <c r="AQ406" s="395"/>
      <c r="AR406" s="395"/>
      <c r="AS406" s="395"/>
      <c r="AT406" s="395"/>
      <c r="AU406" s="395"/>
      <c r="AV406" s="395"/>
      <c r="AW406" s="395"/>
      <c r="AX406" s="395"/>
      <c r="AY406" s="395"/>
      <c r="AZ406" s="395"/>
      <c r="BA406" s="395"/>
      <c r="BB406" s="395"/>
      <c r="BC406" s="395"/>
      <c r="BD406" s="395"/>
      <c r="BE406" s="395"/>
      <c r="BF406" s="395"/>
      <c r="BG406" s="395"/>
      <c r="BH406" s="395"/>
      <c r="BI406" s="395"/>
      <c r="BJ406" s="395"/>
      <c r="BK406" s="395"/>
      <c r="BL406" s="395"/>
      <c r="BM406" s="395"/>
      <c r="BN406" s="395"/>
      <c r="BO406" s="395"/>
      <c r="BP406" s="395"/>
      <c r="BQ406" s="395"/>
      <c r="BR406" s="395"/>
      <c r="BS406" s="395"/>
      <c r="BT406" s="395"/>
      <c r="BU406" s="395"/>
      <c r="BV406" s="395"/>
      <c r="BW406" s="395"/>
      <c r="BX406" s="395"/>
      <c r="BY406" s="395"/>
      <c r="BZ406" s="395"/>
      <c r="CA406" s="395"/>
      <c r="CB406" s="395"/>
      <c r="CC406" s="395"/>
      <c r="CD406" s="395"/>
      <c r="CE406" s="395"/>
      <c r="CF406" s="395"/>
      <c r="CG406" s="395"/>
      <c r="CH406" s="395"/>
      <c r="CI406" s="395"/>
      <c r="CJ406" s="395"/>
      <c r="CK406" s="395"/>
      <c r="CL406" s="395"/>
      <c r="CM406" s="395"/>
      <c r="CN406" s="395"/>
      <c r="CO406" s="395"/>
      <c r="CP406" s="395"/>
      <c r="CQ406" s="395"/>
      <c r="CR406" s="395"/>
      <c r="CS406" s="395"/>
      <c r="CT406" s="395"/>
    </row>
    <row r="407" spans="2:98" x14ac:dyDescent="0.3">
      <c r="B407" s="96"/>
      <c r="C407" s="96"/>
      <c r="D407" s="96"/>
      <c r="E407" s="96"/>
      <c r="G407" s="87"/>
      <c r="H407" s="182"/>
      <c r="K407" s="87"/>
      <c r="L407" s="87"/>
      <c r="M407" s="87"/>
      <c r="N407" s="87"/>
      <c r="R407" s="395"/>
      <c r="S407" s="395"/>
      <c r="T407" s="395"/>
      <c r="U407" s="395"/>
      <c r="V407" s="395"/>
      <c r="W407" s="395"/>
      <c r="X407" s="395"/>
      <c r="Y407" s="395"/>
      <c r="Z407" s="395"/>
      <c r="AA407" s="395"/>
      <c r="AB407" s="395"/>
      <c r="AC407" s="395"/>
      <c r="AD407" s="395"/>
      <c r="AE407" s="395"/>
      <c r="AF407" s="395"/>
      <c r="AG407" s="395"/>
      <c r="AH407" s="395"/>
      <c r="AI407" s="395"/>
      <c r="AJ407" s="395"/>
      <c r="AK407" s="395"/>
      <c r="AL407" s="395"/>
      <c r="AM407" s="395"/>
      <c r="AN407" s="395"/>
      <c r="AO407" s="395"/>
      <c r="AP407" s="395"/>
      <c r="AQ407" s="395"/>
      <c r="AR407" s="395"/>
      <c r="AS407" s="395"/>
      <c r="AT407" s="395"/>
      <c r="AU407" s="395"/>
      <c r="AV407" s="395"/>
      <c r="AW407" s="395"/>
      <c r="AX407" s="395"/>
      <c r="AY407" s="395"/>
      <c r="AZ407" s="395"/>
      <c r="BA407" s="395"/>
      <c r="BB407" s="395"/>
      <c r="BC407" s="395"/>
      <c r="BD407" s="395"/>
      <c r="BE407" s="395"/>
      <c r="BF407" s="395"/>
      <c r="BG407" s="395"/>
      <c r="BH407" s="395"/>
      <c r="BI407" s="395"/>
      <c r="BJ407" s="395"/>
      <c r="BK407" s="395"/>
      <c r="BL407" s="395"/>
      <c r="BM407" s="395"/>
      <c r="BN407" s="395"/>
      <c r="BO407" s="395"/>
      <c r="BP407" s="395"/>
      <c r="BQ407" s="395"/>
      <c r="BR407" s="395"/>
      <c r="BS407" s="395"/>
      <c r="BT407" s="395"/>
      <c r="BU407" s="395"/>
      <c r="BV407" s="395"/>
      <c r="BW407" s="395"/>
      <c r="BX407" s="395"/>
      <c r="BY407" s="395"/>
      <c r="BZ407" s="395"/>
      <c r="CA407" s="395"/>
      <c r="CB407" s="395"/>
      <c r="CC407" s="395"/>
      <c r="CD407" s="395"/>
      <c r="CE407" s="395"/>
      <c r="CF407" s="395"/>
      <c r="CG407" s="395"/>
      <c r="CH407" s="395"/>
      <c r="CI407" s="395"/>
      <c r="CJ407" s="395"/>
      <c r="CK407" s="395"/>
      <c r="CL407" s="395"/>
      <c r="CM407" s="395"/>
      <c r="CN407" s="395"/>
      <c r="CO407" s="395"/>
      <c r="CP407" s="395"/>
      <c r="CQ407" s="395"/>
      <c r="CR407" s="395"/>
      <c r="CS407" s="395"/>
      <c r="CT407" s="395"/>
    </row>
    <row r="408" spans="2:98" x14ac:dyDescent="0.3">
      <c r="B408" s="96"/>
      <c r="C408" s="96"/>
      <c r="G408" s="87"/>
      <c r="H408" s="182"/>
      <c r="K408" s="87"/>
      <c r="L408" s="87"/>
      <c r="M408" s="87"/>
      <c r="N408" s="87"/>
      <c r="R408" s="395"/>
      <c r="S408" s="395"/>
      <c r="T408" s="395"/>
      <c r="U408" s="395"/>
      <c r="V408" s="395"/>
      <c r="W408" s="395"/>
      <c r="X408" s="395"/>
      <c r="Y408" s="395"/>
      <c r="Z408" s="395"/>
      <c r="AA408" s="395"/>
      <c r="AB408" s="395"/>
      <c r="AC408" s="395"/>
      <c r="AD408" s="395"/>
      <c r="AE408" s="395"/>
      <c r="AF408" s="395"/>
      <c r="AG408" s="395"/>
      <c r="AH408" s="395"/>
      <c r="AI408" s="395"/>
      <c r="AJ408" s="395"/>
      <c r="AK408" s="395"/>
      <c r="AL408" s="395"/>
      <c r="AM408" s="395"/>
      <c r="AN408" s="395"/>
      <c r="AO408" s="395"/>
      <c r="AP408" s="395"/>
      <c r="AQ408" s="395"/>
      <c r="AR408" s="395"/>
      <c r="AS408" s="395"/>
      <c r="AT408" s="395"/>
      <c r="AU408" s="395"/>
      <c r="AV408" s="395"/>
      <c r="AW408" s="395"/>
      <c r="AX408" s="395"/>
      <c r="AY408" s="395"/>
      <c r="AZ408" s="395"/>
      <c r="BA408" s="395"/>
      <c r="BB408" s="395"/>
      <c r="BC408" s="395"/>
      <c r="BD408" s="395"/>
      <c r="BE408" s="395"/>
      <c r="BF408" s="395"/>
      <c r="BG408" s="395"/>
      <c r="BH408" s="395"/>
      <c r="BI408" s="395"/>
      <c r="BJ408" s="395"/>
      <c r="BK408" s="395"/>
      <c r="BL408" s="395"/>
      <c r="BM408" s="395"/>
      <c r="BN408" s="395"/>
      <c r="BO408" s="395"/>
      <c r="BP408" s="395"/>
      <c r="BQ408" s="395"/>
      <c r="BR408" s="395"/>
      <c r="BS408" s="395"/>
      <c r="BT408" s="395"/>
      <c r="BU408" s="395"/>
      <c r="BV408" s="395"/>
      <c r="BW408" s="395"/>
      <c r="BX408" s="395"/>
      <c r="BY408" s="395"/>
      <c r="BZ408" s="395"/>
      <c r="CA408" s="395"/>
      <c r="CB408" s="395"/>
      <c r="CC408" s="395"/>
      <c r="CD408" s="395"/>
      <c r="CE408" s="395"/>
      <c r="CF408" s="395"/>
      <c r="CG408" s="395"/>
      <c r="CH408" s="395"/>
      <c r="CI408" s="395"/>
      <c r="CJ408" s="395"/>
      <c r="CK408" s="395"/>
      <c r="CL408" s="395"/>
      <c r="CM408" s="395"/>
      <c r="CN408" s="395"/>
      <c r="CO408" s="395"/>
      <c r="CP408" s="395"/>
      <c r="CQ408" s="395"/>
      <c r="CR408" s="395"/>
      <c r="CS408" s="395"/>
      <c r="CT408" s="395"/>
    </row>
    <row r="409" spans="2:98" x14ac:dyDescent="0.3">
      <c r="B409" s="96"/>
      <c r="C409" s="96"/>
      <c r="G409" s="87"/>
      <c r="H409" s="182"/>
      <c r="K409" s="87"/>
      <c r="L409" s="87"/>
      <c r="M409" s="87"/>
      <c r="N409" s="87"/>
      <c r="R409" s="395"/>
      <c r="S409" s="395"/>
      <c r="T409" s="395"/>
      <c r="U409" s="395"/>
      <c r="V409" s="395"/>
      <c r="W409" s="395"/>
      <c r="X409" s="395"/>
      <c r="Y409" s="395"/>
      <c r="Z409" s="395"/>
      <c r="AA409" s="395"/>
      <c r="AB409" s="395"/>
      <c r="AC409" s="395"/>
      <c r="AD409" s="395"/>
      <c r="AE409" s="395"/>
      <c r="AF409" s="395"/>
      <c r="AG409" s="395"/>
      <c r="AH409" s="395"/>
      <c r="AI409" s="395"/>
      <c r="AJ409" s="395"/>
      <c r="AK409" s="395"/>
      <c r="AL409" s="395"/>
      <c r="AM409" s="395"/>
      <c r="AN409" s="395"/>
      <c r="AO409" s="395"/>
      <c r="AP409" s="395"/>
      <c r="AQ409" s="395"/>
      <c r="AR409" s="395"/>
      <c r="AS409" s="395"/>
      <c r="AT409" s="395"/>
      <c r="AU409" s="395"/>
      <c r="AV409" s="395"/>
      <c r="AW409" s="395"/>
      <c r="AX409" s="395"/>
      <c r="AY409" s="395"/>
      <c r="AZ409" s="395"/>
      <c r="BA409" s="395"/>
      <c r="BB409" s="395"/>
      <c r="BC409" s="395"/>
      <c r="BD409" s="395"/>
      <c r="BE409" s="395"/>
      <c r="BF409" s="395"/>
      <c r="BG409" s="395"/>
      <c r="BH409" s="395"/>
      <c r="BI409" s="395"/>
      <c r="BJ409" s="395"/>
      <c r="BK409" s="395"/>
      <c r="BL409" s="395"/>
      <c r="BM409" s="395"/>
      <c r="BN409" s="395"/>
      <c r="BO409" s="395"/>
      <c r="BP409" s="395"/>
      <c r="BQ409" s="395"/>
      <c r="BR409" s="395"/>
      <c r="BS409" s="395"/>
      <c r="BT409" s="395"/>
      <c r="BU409" s="395"/>
      <c r="BV409" s="395"/>
      <c r="BW409" s="395"/>
      <c r="BX409" s="395"/>
      <c r="BY409" s="395"/>
      <c r="BZ409" s="395"/>
      <c r="CA409" s="395"/>
      <c r="CB409" s="395"/>
      <c r="CC409" s="395"/>
      <c r="CD409" s="395"/>
      <c r="CE409" s="395"/>
      <c r="CF409" s="395"/>
      <c r="CG409" s="395"/>
      <c r="CH409" s="395"/>
      <c r="CI409" s="395"/>
      <c r="CJ409" s="395"/>
      <c r="CK409" s="395"/>
      <c r="CL409" s="395"/>
      <c r="CM409" s="395"/>
      <c r="CN409" s="395"/>
      <c r="CO409" s="395"/>
      <c r="CP409" s="395"/>
      <c r="CQ409" s="395"/>
      <c r="CR409" s="395"/>
      <c r="CS409" s="395"/>
      <c r="CT409" s="395"/>
    </row>
    <row r="410" spans="2:98" x14ac:dyDescent="0.3">
      <c r="G410" s="87"/>
      <c r="H410" s="182"/>
      <c r="K410" s="87"/>
      <c r="L410" s="87"/>
      <c r="M410" s="87"/>
      <c r="N410" s="87"/>
      <c r="R410" s="395"/>
      <c r="S410" s="395"/>
      <c r="T410" s="395"/>
      <c r="U410" s="395"/>
      <c r="V410" s="395"/>
      <c r="W410" s="395"/>
      <c r="X410" s="395"/>
      <c r="Y410" s="395"/>
      <c r="Z410" s="395"/>
      <c r="AA410" s="395"/>
      <c r="AB410" s="395"/>
      <c r="AC410" s="395"/>
      <c r="AD410" s="395"/>
      <c r="AE410" s="395"/>
      <c r="AF410" s="395"/>
      <c r="AG410" s="395"/>
      <c r="AH410" s="395"/>
      <c r="AI410" s="395"/>
      <c r="AJ410" s="395"/>
      <c r="AK410" s="395"/>
      <c r="AL410" s="395"/>
      <c r="AM410" s="395"/>
      <c r="AN410" s="395"/>
      <c r="AO410" s="395"/>
      <c r="AP410" s="395"/>
      <c r="AQ410" s="395"/>
      <c r="AR410" s="395"/>
      <c r="AS410" s="395"/>
      <c r="AT410" s="395"/>
      <c r="AU410" s="395"/>
      <c r="AV410" s="395"/>
      <c r="AW410" s="395"/>
      <c r="AX410" s="395"/>
      <c r="AY410" s="395"/>
      <c r="AZ410" s="395"/>
      <c r="BA410" s="395"/>
      <c r="BB410" s="395"/>
      <c r="BC410" s="395"/>
      <c r="BD410" s="395"/>
      <c r="BE410" s="395"/>
      <c r="BF410" s="395"/>
      <c r="BG410" s="395"/>
      <c r="BH410" s="395"/>
      <c r="BI410" s="395"/>
      <c r="BJ410" s="395"/>
      <c r="BK410" s="395"/>
      <c r="BL410" s="395"/>
      <c r="BM410" s="395"/>
      <c r="BN410" s="395"/>
      <c r="BO410" s="395"/>
      <c r="BP410" s="395"/>
      <c r="BQ410" s="395"/>
      <c r="BR410" s="395"/>
      <c r="BS410" s="395"/>
      <c r="BT410" s="395"/>
      <c r="BU410" s="395"/>
      <c r="BV410" s="395"/>
      <c r="BW410" s="395"/>
      <c r="BX410" s="395"/>
      <c r="BY410" s="395"/>
      <c r="BZ410" s="395"/>
      <c r="CA410" s="395"/>
      <c r="CB410" s="395"/>
      <c r="CC410" s="395"/>
      <c r="CD410" s="395"/>
      <c r="CE410" s="395"/>
      <c r="CF410" s="395"/>
      <c r="CG410" s="395"/>
      <c r="CH410" s="395"/>
      <c r="CI410" s="395"/>
      <c r="CJ410" s="395"/>
      <c r="CK410" s="395"/>
      <c r="CL410" s="395"/>
      <c r="CM410" s="395"/>
      <c r="CN410" s="395"/>
      <c r="CO410" s="395"/>
      <c r="CP410" s="395"/>
      <c r="CQ410" s="395"/>
      <c r="CR410" s="395"/>
      <c r="CS410" s="395"/>
      <c r="CT410" s="395"/>
    </row>
    <row r="411" spans="2:98" x14ac:dyDescent="0.3">
      <c r="G411" s="87"/>
      <c r="H411" s="182"/>
      <c r="K411" s="87"/>
      <c r="L411" s="87"/>
      <c r="M411" s="87"/>
      <c r="N411" s="87"/>
    </row>
    <row r="412" spans="2:98" x14ac:dyDescent="0.3">
      <c r="G412" s="87"/>
      <c r="H412" s="182"/>
      <c r="K412" s="87"/>
      <c r="L412" s="87"/>
      <c r="M412" s="87"/>
      <c r="N412" s="87"/>
    </row>
    <row r="413" spans="2:98" x14ac:dyDescent="0.3">
      <c r="G413" s="87"/>
      <c r="H413" s="182"/>
      <c r="K413" s="87"/>
      <c r="L413" s="87"/>
      <c r="M413" s="87"/>
      <c r="N413" s="87"/>
    </row>
    <row r="414" spans="2:98" x14ac:dyDescent="0.3">
      <c r="G414" s="87"/>
      <c r="H414" s="182"/>
      <c r="K414" s="87"/>
      <c r="L414" s="87"/>
      <c r="M414" s="87"/>
      <c r="N414" s="87"/>
    </row>
    <row r="415" spans="2:98" x14ac:dyDescent="0.3">
      <c r="G415" s="87"/>
      <c r="H415" s="182"/>
      <c r="K415" s="87"/>
      <c r="L415" s="87"/>
      <c r="M415" s="87"/>
      <c r="N415" s="87"/>
    </row>
    <row r="416" spans="2:98" x14ac:dyDescent="0.3">
      <c r="G416" s="87"/>
      <c r="H416" s="182"/>
      <c r="K416" s="87"/>
      <c r="L416" s="87"/>
      <c r="M416" s="87"/>
      <c r="N416" s="87"/>
    </row>
    <row r="417" spans="7:14" x14ac:dyDescent="0.3">
      <c r="G417" s="87"/>
      <c r="H417" s="182"/>
      <c r="K417" s="87"/>
      <c r="L417" s="87"/>
      <c r="M417" s="87"/>
      <c r="N417" s="87"/>
    </row>
    <row r="418" spans="7:14" x14ac:dyDescent="0.3">
      <c r="G418" s="87"/>
      <c r="H418" s="182"/>
      <c r="K418" s="87"/>
      <c r="L418" s="87"/>
      <c r="M418" s="87"/>
      <c r="N418" s="87"/>
    </row>
    <row r="419" spans="7:14" x14ac:dyDescent="0.3">
      <c r="G419" s="87"/>
      <c r="H419" s="182"/>
      <c r="K419" s="87"/>
      <c r="L419" s="87"/>
      <c r="M419" s="87"/>
      <c r="N419" s="87"/>
    </row>
    <row r="420" spans="7:14" x14ac:dyDescent="0.3">
      <c r="G420" s="87"/>
      <c r="H420" s="182"/>
      <c r="K420" s="87"/>
      <c r="L420" s="87"/>
      <c r="M420" s="87"/>
      <c r="N420" s="87"/>
    </row>
    <row r="421" spans="7:14" x14ac:dyDescent="0.3">
      <c r="G421" s="87"/>
      <c r="H421" s="182"/>
      <c r="K421" s="87"/>
      <c r="L421" s="87"/>
      <c r="M421" s="87"/>
      <c r="N421" s="87"/>
    </row>
    <row r="422" spans="7:14" x14ac:dyDescent="0.3">
      <c r="G422" s="87"/>
      <c r="H422" s="182"/>
      <c r="K422" s="87"/>
      <c r="L422" s="87"/>
      <c r="M422" s="87"/>
      <c r="N422" s="87"/>
    </row>
    <row r="423" spans="7:14" x14ac:dyDescent="0.3">
      <c r="G423" s="87"/>
      <c r="H423" s="182"/>
      <c r="K423" s="87"/>
      <c r="L423" s="87"/>
      <c r="M423" s="87"/>
      <c r="N423" s="87"/>
    </row>
    <row r="424" spans="7:14" x14ac:dyDescent="0.3">
      <c r="G424" s="87"/>
      <c r="H424" s="182"/>
      <c r="K424" s="87"/>
      <c r="L424" s="87"/>
      <c r="M424" s="87"/>
      <c r="N424" s="87"/>
    </row>
    <row r="425" spans="7:14" x14ac:dyDescent="0.3">
      <c r="G425" s="87"/>
      <c r="H425" s="182"/>
      <c r="K425" s="87"/>
      <c r="L425" s="87"/>
      <c r="M425" s="87"/>
      <c r="N425" s="87"/>
    </row>
    <row r="426" spans="7:14" x14ac:dyDescent="0.3">
      <c r="G426" s="87"/>
      <c r="H426" s="182"/>
      <c r="K426" s="87"/>
      <c r="L426" s="87"/>
      <c r="M426" s="87"/>
      <c r="N426" s="87"/>
    </row>
    <row r="427" spans="7:14" x14ac:dyDescent="0.3">
      <c r="G427" s="87"/>
      <c r="H427" s="182"/>
      <c r="K427" s="87"/>
      <c r="L427" s="87"/>
      <c r="M427" s="87"/>
      <c r="N427" s="87"/>
    </row>
    <row r="428" spans="7:14" x14ac:dyDescent="0.3">
      <c r="G428" s="87"/>
      <c r="H428" s="182"/>
      <c r="K428" s="87"/>
      <c r="L428" s="87"/>
      <c r="M428" s="87"/>
      <c r="N428" s="87"/>
    </row>
    <row r="429" spans="7:14" x14ac:dyDescent="0.3">
      <c r="G429" s="87"/>
      <c r="H429" s="182"/>
      <c r="K429" s="87"/>
      <c r="L429" s="87"/>
      <c r="M429" s="87"/>
      <c r="N429" s="87"/>
    </row>
    <row r="430" spans="7:14" x14ac:dyDescent="0.3">
      <c r="G430" s="87"/>
      <c r="H430" s="182"/>
      <c r="K430" s="87"/>
      <c r="L430" s="87"/>
      <c r="M430" s="87"/>
      <c r="N430" s="87"/>
    </row>
    <row r="431" spans="7:14" x14ac:dyDescent="0.3">
      <c r="G431" s="87"/>
      <c r="H431" s="182"/>
      <c r="K431" s="87"/>
      <c r="L431" s="87"/>
      <c r="M431" s="87"/>
      <c r="N431" s="87"/>
    </row>
    <row r="432" spans="7:14" x14ac:dyDescent="0.3">
      <c r="G432" s="87"/>
      <c r="H432" s="182"/>
      <c r="K432" s="87"/>
      <c r="L432" s="87"/>
      <c r="M432" s="87"/>
      <c r="N432" s="87"/>
    </row>
    <row r="433" spans="7:14" x14ac:dyDescent="0.3">
      <c r="G433" s="87"/>
      <c r="H433" s="182"/>
      <c r="K433" s="87"/>
      <c r="L433" s="87"/>
      <c r="M433" s="87"/>
      <c r="N433" s="87"/>
    </row>
    <row r="434" spans="7:14" x14ac:dyDescent="0.3">
      <c r="G434" s="87"/>
      <c r="H434" s="182"/>
      <c r="K434" s="87"/>
      <c r="L434" s="87"/>
      <c r="M434" s="87"/>
      <c r="N434" s="87"/>
    </row>
    <row r="435" spans="7:14" x14ac:dyDescent="0.3">
      <c r="G435" s="87"/>
      <c r="H435" s="182"/>
      <c r="K435" s="87"/>
      <c r="L435" s="87"/>
      <c r="M435" s="87"/>
      <c r="N435" s="87"/>
    </row>
    <row r="436" spans="7:14" x14ac:dyDescent="0.3">
      <c r="G436" s="87"/>
      <c r="H436" s="182"/>
      <c r="K436" s="87"/>
      <c r="L436" s="87"/>
      <c r="M436" s="87"/>
      <c r="N436" s="87"/>
    </row>
    <row r="437" spans="7:14" x14ac:dyDescent="0.3">
      <c r="G437" s="87"/>
      <c r="H437" s="182"/>
      <c r="K437" s="87"/>
      <c r="L437" s="87"/>
      <c r="M437" s="87"/>
      <c r="N437" s="87"/>
    </row>
    <row r="438" spans="7:14" x14ac:dyDescent="0.3">
      <c r="G438" s="87"/>
      <c r="H438" s="182"/>
      <c r="K438" s="87"/>
      <c r="L438" s="87"/>
      <c r="M438" s="87"/>
      <c r="N438" s="87"/>
    </row>
    <row r="439" spans="7:14" x14ac:dyDescent="0.3">
      <c r="G439" s="87"/>
      <c r="H439" s="182"/>
      <c r="K439" s="87"/>
      <c r="L439" s="87"/>
      <c r="M439" s="87"/>
      <c r="N439" s="87"/>
    </row>
    <row r="440" spans="7:14" x14ac:dyDescent="0.3">
      <c r="G440" s="87"/>
      <c r="H440" s="182"/>
      <c r="K440" s="87"/>
      <c r="L440" s="87"/>
      <c r="M440" s="87"/>
      <c r="N440" s="87"/>
    </row>
    <row r="441" spans="7:14" x14ac:dyDescent="0.3">
      <c r="G441" s="87"/>
      <c r="H441" s="182"/>
      <c r="K441" s="87"/>
      <c r="L441" s="87"/>
      <c r="M441" s="87"/>
      <c r="N441" s="87"/>
    </row>
    <row r="442" spans="7:14" x14ac:dyDescent="0.3">
      <c r="G442" s="87"/>
      <c r="H442" s="182"/>
      <c r="K442" s="87"/>
      <c r="L442" s="87"/>
      <c r="M442" s="87"/>
      <c r="N442" s="87"/>
    </row>
    <row r="443" spans="7:14" x14ac:dyDescent="0.3">
      <c r="G443" s="87"/>
      <c r="H443" s="182"/>
      <c r="K443" s="87"/>
      <c r="L443" s="87"/>
      <c r="M443" s="87"/>
      <c r="N443" s="87"/>
    </row>
    <row r="444" spans="7:14" x14ac:dyDescent="0.3">
      <c r="G444" s="87"/>
      <c r="H444" s="182"/>
      <c r="K444" s="87"/>
      <c r="L444" s="87"/>
      <c r="M444" s="87"/>
      <c r="N444" s="87"/>
    </row>
    <row r="445" spans="7:14" x14ac:dyDescent="0.3">
      <c r="G445" s="87"/>
      <c r="H445" s="182"/>
      <c r="K445" s="87"/>
      <c r="L445" s="87"/>
      <c r="M445" s="87"/>
      <c r="N445" s="87"/>
    </row>
    <row r="446" spans="7:14" x14ac:dyDescent="0.3">
      <c r="G446" s="87"/>
      <c r="H446" s="182"/>
      <c r="K446" s="87"/>
      <c r="L446" s="87"/>
      <c r="M446" s="87"/>
      <c r="N446" s="87"/>
    </row>
    <row r="447" spans="7:14" x14ac:dyDescent="0.3">
      <c r="G447" s="87"/>
      <c r="H447" s="182"/>
      <c r="K447" s="87"/>
      <c r="L447" s="87"/>
      <c r="M447" s="87"/>
      <c r="N447" s="87"/>
    </row>
    <row r="448" spans="7:14" x14ac:dyDescent="0.3">
      <c r="G448" s="87"/>
      <c r="H448" s="182"/>
      <c r="K448" s="87"/>
      <c r="L448" s="87"/>
      <c r="M448" s="87"/>
      <c r="N448" s="87"/>
    </row>
    <row r="449" spans="7:17" x14ac:dyDescent="0.3">
      <c r="G449" s="87"/>
      <c r="H449" s="182"/>
      <c r="K449" s="87"/>
      <c r="L449" s="87"/>
      <c r="M449" s="87"/>
      <c r="N449" s="87"/>
    </row>
    <row r="450" spans="7:17" x14ac:dyDescent="0.3">
      <c r="G450" s="87"/>
      <c r="H450" s="182"/>
      <c r="K450" s="87"/>
      <c r="L450" s="87"/>
      <c r="M450" s="87"/>
      <c r="N450" s="87"/>
    </row>
    <row r="451" spans="7:17" x14ac:dyDescent="0.3">
      <c r="G451" s="87"/>
      <c r="H451" s="182"/>
      <c r="K451" s="87"/>
      <c r="L451" s="87"/>
      <c r="M451" s="87"/>
      <c r="N451" s="87"/>
    </row>
    <row r="452" spans="7:17" x14ac:dyDescent="0.3">
      <c r="G452" s="87"/>
      <c r="H452" s="182"/>
      <c r="K452" s="87"/>
      <c r="L452" s="87"/>
      <c r="M452" s="87"/>
      <c r="N452" s="87"/>
    </row>
    <row r="453" spans="7:17" x14ac:dyDescent="0.3">
      <c r="G453" s="87"/>
      <c r="H453" s="182"/>
      <c r="K453" s="87"/>
      <c r="L453" s="87"/>
      <c r="M453" s="87"/>
      <c r="N453" s="87"/>
    </row>
    <row r="454" spans="7:17" x14ac:dyDescent="0.3">
      <c r="G454" s="87"/>
      <c r="H454" s="182"/>
      <c r="K454" s="87"/>
      <c r="L454" s="87"/>
      <c r="M454" s="87"/>
      <c r="N454" s="87"/>
    </row>
    <row r="455" spans="7:17" x14ac:dyDescent="0.3">
      <c r="G455" s="87"/>
      <c r="H455" s="182"/>
      <c r="K455" s="87"/>
      <c r="L455" s="87"/>
      <c r="M455" s="87"/>
      <c r="N455" s="87"/>
    </row>
    <row r="456" spans="7:17" x14ac:dyDescent="0.3">
      <c r="G456" s="87"/>
      <c r="H456" s="182"/>
      <c r="K456" s="87"/>
      <c r="L456" s="87"/>
      <c r="M456" s="87"/>
      <c r="N456" s="87"/>
    </row>
    <row r="457" spans="7:17" x14ac:dyDescent="0.3">
      <c r="G457" s="87"/>
      <c r="H457" s="182"/>
      <c r="K457" s="87"/>
      <c r="L457" s="87"/>
      <c r="M457" s="87"/>
      <c r="N457" s="87"/>
    </row>
    <row r="458" spans="7:17" x14ac:dyDescent="0.3">
      <c r="G458" s="87"/>
      <c r="H458" s="182"/>
      <c r="K458" s="87"/>
      <c r="L458" s="87"/>
      <c r="M458" s="87"/>
      <c r="N458" s="87"/>
    </row>
    <row r="459" spans="7:17" x14ac:dyDescent="0.3">
      <c r="G459" s="87"/>
      <c r="H459" s="182"/>
      <c r="K459" s="87"/>
      <c r="L459" s="87"/>
      <c r="M459" s="87"/>
      <c r="N459" s="87"/>
    </row>
    <row r="460" spans="7:17" x14ac:dyDescent="0.3">
      <c r="G460" s="87"/>
      <c r="H460" s="182"/>
      <c r="K460" s="87"/>
      <c r="L460" s="87"/>
      <c r="M460" s="87"/>
      <c r="N460" s="87"/>
    </row>
    <row r="461" spans="7:17" x14ac:dyDescent="0.3">
      <c r="G461" s="87"/>
      <c r="H461" s="182"/>
      <c r="K461" s="87"/>
      <c r="L461" s="87"/>
      <c r="M461" s="87"/>
      <c r="N461" s="87"/>
    </row>
    <row r="462" spans="7:17" x14ac:dyDescent="0.3">
      <c r="G462" s="87"/>
      <c r="H462" s="182"/>
      <c r="K462" s="87"/>
      <c r="L462" s="87"/>
      <c r="M462" s="87"/>
      <c r="N462" s="87"/>
      <c r="O462" s="399"/>
      <c r="P462" s="400"/>
    </row>
    <row r="463" spans="7:17" x14ac:dyDescent="0.3">
      <c r="G463" s="87"/>
      <c r="H463" s="182"/>
      <c r="K463" s="87"/>
      <c r="L463" s="87"/>
      <c r="M463" s="87"/>
      <c r="N463" s="87"/>
      <c r="O463" s="399"/>
      <c r="P463" s="400"/>
      <c r="Q463" s="399"/>
    </row>
    <row r="464" spans="7:17" x14ac:dyDescent="0.3">
      <c r="G464" s="87"/>
      <c r="H464" s="182"/>
      <c r="K464" s="87"/>
      <c r="L464" s="87"/>
      <c r="M464" s="87"/>
      <c r="N464" s="87"/>
      <c r="O464" s="399"/>
      <c r="P464" s="400"/>
      <c r="Q464" s="399"/>
    </row>
    <row r="465" spans="7:17" x14ac:dyDescent="0.3">
      <c r="G465" s="87"/>
      <c r="H465" s="182"/>
      <c r="K465" s="87"/>
      <c r="L465" s="87"/>
      <c r="M465" s="87"/>
      <c r="N465" s="87"/>
      <c r="O465" s="399"/>
      <c r="P465" s="400"/>
      <c r="Q465" s="399"/>
    </row>
    <row r="466" spans="7:17" x14ac:dyDescent="0.3">
      <c r="G466" s="87"/>
      <c r="H466" s="182"/>
      <c r="K466" s="87"/>
      <c r="L466" s="87"/>
      <c r="M466" s="87"/>
      <c r="N466" s="87"/>
      <c r="O466" s="399"/>
      <c r="P466" s="400"/>
      <c r="Q466" s="399"/>
    </row>
    <row r="467" spans="7:17" x14ac:dyDescent="0.3">
      <c r="G467" s="87"/>
      <c r="H467" s="182"/>
      <c r="K467" s="87"/>
      <c r="L467" s="87"/>
      <c r="M467" s="87"/>
      <c r="N467" s="87"/>
      <c r="O467" s="399"/>
      <c r="P467" s="400"/>
      <c r="Q467" s="399"/>
    </row>
    <row r="468" spans="7:17" x14ac:dyDescent="0.3">
      <c r="G468" s="87"/>
      <c r="H468" s="182"/>
      <c r="K468" s="87"/>
      <c r="L468" s="87"/>
      <c r="M468" s="87"/>
      <c r="N468" s="87"/>
      <c r="O468" s="399"/>
      <c r="P468" s="400"/>
      <c r="Q468" s="399"/>
    </row>
    <row r="469" spans="7:17" x14ac:dyDescent="0.3">
      <c r="G469" s="87"/>
      <c r="H469" s="182"/>
      <c r="K469" s="87"/>
      <c r="L469" s="87"/>
      <c r="M469" s="87"/>
      <c r="N469" s="87"/>
      <c r="O469" s="399"/>
      <c r="P469" s="400"/>
      <c r="Q469" s="399"/>
    </row>
    <row r="470" spans="7:17" x14ac:dyDescent="0.3">
      <c r="G470" s="87"/>
      <c r="H470" s="182"/>
      <c r="K470" s="87"/>
      <c r="L470" s="87"/>
      <c r="M470" s="87"/>
      <c r="N470" s="87"/>
      <c r="O470" s="399"/>
      <c r="P470" s="400"/>
      <c r="Q470" s="399"/>
    </row>
    <row r="471" spans="7:17" x14ac:dyDescent="0.3">
      <c r="G471" s="87"/>
      <c r="H471" s="182"/>
      <c r="K471" s="87"/>
      <c r="L471" s="87"/>
      <c r="M471" s="87"/>
      <c r="N471" s="87"/>
      <c r="O471" s="399"/>
      <c r="P471" s="400"/>
      <c r="Q471" s="399"/>
    </row>
    <row r="472" spans="7:17" x14ac:dyDescent="0.3">
      <c r="G472" s="87"/>
      <c r="H472" s="182"/>
      <c r="K472" s="87"/>
      <c r="L472" s="87"/>
      <c r="M472" s="87"/>
      <c r="N472" s="87"/>
      <c r="O472" s="399"/>
      <c r="P472" s="400"/>
      <c r="Q472" s="399"/>
    </row>
    <row r="473" spans="7:17" x14ac:dyDescent="0.3">
      <c r="G473" s="87"/>
      <c r="H473" s="182"/>
      <c r="K473" s="87"/>
      <c r="L473" s="87"/>
      <c r="M473" s="87"/>
      <c r="N473" s="87"/>
      <c r="O473" s="399"/>
      <c r="P473" s="400"/>
      <c r="Q473" s="399"/>
    </row>
    <row r="474" spans="7:17" x14ac:dyDescent="0.3">
      <c r="G474" s="87"/>
      <c r="H474" s="182"/>
      <c r="K474" s="87"/>
      <c r="L474" s="87"/>
      <c r="M474" s="87"/>
      <c r="N474" s="87"/>
      <c r="O474" s="399"/>
      <c r="P474" s="400"/>
      <c r="Q474" s="399"/>
    </row>
    <row r="475" spans="7:17" x14ac:dyDescent="0.3">
      <c r="G475" s="87"/>
      <c r="H475" s="182"/>
      <c r="K475" s="87"/>
      <c r="L475" s="87"/>
      <c r="M475" s="87"/>
      <c r="N475" s="87"/>
      <c r="O475" s="399"/>
      <c r="P475" s="400"/>
      <c r="Q475" s="399"/>
    </row>
    <row r="476" spans="7:17" x14ac:dyDescent="0.3">
      <c r="G476" s="87"/>
      <c r="H476" s="182"/>
      <c r="K476" s="87"/>
      <c r="L476" s="87"/>
      <c r="M476" s="87"/>
      <c r="N476" s="87"/>
      <c r="O476" s="399"/>
      <c r="P476" s="400"/>
      <c r="Q476" s="399"/>
    </row>
    <row r="477" spans="7:17" x14ac:dyDescent="0.3">
      <c r="G477" s="87"/>
      <c r="H477" s="182"/>
      <c r="K477" s="87"/>
      <c r="L477" s="87"/>
      <c r="M477" s="87"/>
      <c r="N477" s="87"/>
      <c r="O477" s="399"/>
      <c r="P477" s="400"/>
      <c r="Q477" s="399"/>
    </row>
    <row r="478" spans="7:17" x14ac:dyDescent="0.3">
      <c r="G478" s="87"/>
      <c r="H478" s="182"/>
      <c r="K478" s="87"/>
      <c r="L478" s="87"/>
      <c r="M478" s="87"/>
      <c r="N478" s="87"/>
      <c r="O478" s="399"/>
      <c r="P478" s="400"/>
      <c r="Q478" s="399"/>
    </row>
    <row r="479" spans="7:17" x14ac:dyDescent="0.3">
      <c r="G479" s="87"/>
      <c r="H479" s="182"/>
      <c r="K479" s="87"/>
      <c r="L479" s="87"/>
      <c r="M479" s="87"/>
      <c r="N479" s="87"/>
      <c r="O479" s="399"/>
      <c r="P479" s="400"/>
      <c r="Q479" s="399"/>
    </row>
    <row r="480" spans="7:17" x14ac:dyDescent="0.3">
      <c r="G480" s="87"/>
      <c r="H480" s="182"/>
      <c r="K480" s="87"/>
      <c r="L480" s="87"/>
      <c r="M480" s="87"/>
      <c r="N480" s="87"/>
      <c r="O480" s="399"/>
      <c r="P480" s="400"/>
      <c r="Q480" s="399"/>
    </row>
    <row r="481" spans="7:17" x14ac:dyDescent="0.3">
      <c r="G481" s="87"/>
      <c r="H481" s="182"/>
      <c r="K481" s="87"/>
      <c r="L481" s="87"/>
      <c r="M481" s="87"/>
      <c r="N481" s="87"/>
      <c r="O481" s="399"/>
      <c r="P481" s="400"/>
      <c r="Q481" s="399"/>
    </row>
    <row r="482" spans="7:17" x14ac:dyDescent="0.3">
      <c r="G482" s="87"/>
      <c r="H482" s="182"/>
      <c r="K482" s="87"/>
      <c r="L482" s="87"/>
      <c r="M482" s="87"/>
      <c r="N482" s="87"/>
      <c r="O482" s="399"/>
      <c r="P482" s="400"/>
      <c r="Q482" s="399"/>
    </row>
    <row r="483" spans="7:17" x14ac:dyDescent="0.3">
      <c r="O483" s="399"/>
      <c r="P483" s="400"/>
      <c r="Q483" s="399"/>
    </row>
    <row r="484" spans="7:17" x14ac:dyDescent="0.3">
      <c r="O484" s="399"/>
      <c r="P484" s="400"/>
      <c r="Q484" s="399"/>
    </row>
    <row r="485" spans="7:17" x14ac:dyDescent="0.3">
      <c r="O485" s="399"/>
      <c r="P485" s="400"/>
      <c r="Q485" s="399"/>
    </row>
    <row r="486" spans="7:17" x14ac:dyDescent="0.3">
      <c r="O486" s="399"/>
      <c r="P486" s="400"/>
      <c r="Q486" s="399"/>
    </row>
    <row r="487" spans="7:17" x14ac:dyDescent="0.3">
      <c r="O487" s="399"/>
      <c r="P487" s="400"/>
      <c r="Q487" s="399"/>
    </row>
    <row r="488" spans="7:17" x14ac:dyDescent="0.3">
      <c r="O488" s="399"/>
      <c r="P488" s="400"/>
      <c r="Q488" s="399"/>
    </row>
    <row r="489" spans="7:17" x14ac:dyDescent="0.3">
      <c r="O489" s="399"/>
      <c r="P489" s="400"/>
      <c r="Q489" s="399"/>
    </row>
    <row r="490" spans="7:17" x14ac:dyDescent="0.3">
      <c r="O490" s="399"/>
      <c r="P490" s="400"/>
      <c r="Q490" s="399"/>
    </row>
    <row r="491" spans="7:17" x14ac:dyDescent="0.3">
      <c r="O491" s="399"/>
      <c r="P491" s="400"/>
      <c r="Q491" s="399"/>
    </row>
    <row r="492" spans="7:17" x14ac:dyDescent="0.3">
      <c r="O492" s="399"/>
      <c r="P492" s="400"/>
      <c r="Q492" s="399"/>
    </row>
    <row r="493" spans="7:17" x14ac:dyDescent="0.3">
      <c r="O493" s="399"/>
      <c r="P493" s="400"/>
      <c r="Q493" s="399"/>
    </row>
    <row r="494" spans="7:17" x14ac:dyDescent="0.3">
      <c r="G494" s="395"/>
      <c r="I494" s="395"/>
      <c r="J494" s="395"/>
      <c r="K494" s="395"/>
      <c r="L494" s="395"/>
      <c r="M494" s="395"/>
      <c r="N494" s="395"/>
      <c r="O494" s="399"/>
      <c r="P494" s="400"/>
      <c r="Q494" s="399"/>
    </row>
    <row r="495" spans="7:17" x14ac:dyDescent="0.3">
      <c r="Q495" s="399"/>
    </row>
    <row r="496" spans="7:17" x14ac:dyDescent="0.3">
      <c r="Q496" s="399"/>
    </row>
    <row r="497" spans="17:17" x14ac:dyDescent="0.3">
      <c r="Q497" s="399"/>
    </row>
    <row r="498" spans="17:17" x14ac:dyDescent="0.3">
      <c r="Q498" s="399"/>
    </row>
    <row r="499" spans="17:17" x14ac:dyDescent="0.3">
      <c r="Q499" s="399"/>
    </row>
    <row r="500" spans="17:17" x14ac:dyDescent="0.3">
      <c r="Q500" s="399"/>
    </row>
  </sheetData>
  <conditionalFormatting sqref="M3:N4 M5:M6 M8:M27 M29:M30 M34:M40 N5:N203 P7:P203">
    <cfRule type="expression" dxfId="56" priority="6">
      <formula>M3&lt;0</formula>
    </cfRule>
  </conditionalFormatting>
  <conditionalFormatting sqref="E18:E66">
    <cfRule type="cellIs" dxfId="55" priority="5" operator="lessThan">
      <formula>0</formula>
    </cfRule>
  </conditionalFormatting>
  <conditionalFormatting sqref="O4:O6">
    <cfRule type="expression" dxfId="54" priority="4">
      <formula>O4&lt;0</formula>
    </cfRule>
  </conditionalFormatting>
  <conditionalFormatting sqref="O8:O9 O11">
    <cfRule type="expression" dxfId="53" priority="3">
      <formula>O8&lt;0</formula>
    </cfRule>
  </conditionalFormatting>
  <conditionalFormatting sqref="M28">
    <cfRule type="expression" dxfId="52" priority="2">
      <formula>M28&lt;0</formula>
    </cfRule>
  </conditionalFormatting>
  <conditionalFormatting sqref="M52:M53">
    <cfRule type="expression" dxfId="51" priority="1">
      <formula>M52&lt;0</formula>
    </cfRule>
  </conditionalFormatting>
  <dataValidations count="1">
    <dataValidation type="list" allowBlank="1" showInputMessage="1" showErrorMessage="1" sqref="J8 K3:K202" xr:uid="{00000000-0002-0000-0300-000000000000}">
      <formula1>Category</formula1>
    </dataValidation>
  </dataValidations>
  <printOptions horizontalCentered="1"/>
  <pageMargins left="0.25" right="0.25" top="0.25" bottom="0.25" header="0.3" footer="0.3"/>
  <pageSetup fitToHeight="0" orientation="landscape" r:id="rId1"/>
  <drawing r:id="rId2"/>
  <tableParts count="2">
    <tablePart r:id="rId3"/>
    <tablePart r:id="rId4"/>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pageSetUpPr fitToPage="1"/>
  </sheetPr>
  <dimension ref="B1:CT500"/>
  <sheetViews>
    <sheetView showGridLines="0" showRuler="0" topLeftCell="A32" zoomScaleNormal="100" workbookViewId="0">
      <selection activeCell="C64" sqref="C64:E64"/>
    </sheetView>
  </sheetViews>
  <sheetFormatPr defaultColWidth="9.33203125" defaultRowHeight="14.4" x14ac:dyDescent="0.3"/>
  <cols>
    <col min="1" max="1" width="5.44140625" style="315" customWidth="1"/>
    <col min="2" max="2" width="26.44140625" style="315" customWidth="1"/>
    <col min="3" max="6" width="13.33203125" style="315" customWidth="1"/>
    <col min="7" max="7" width="11" style="360" customWidth="1"/>
    <col min="8" max="8" width="11" style="358" customWidth="1"/>
    <col min="9" max="9" width="20.33203125" style="354" customWidth="1"/>
    <col min="10" max="10" width="40.88671875" style="354" customWidth="1"/>
    <col min="11" max="11" width="22.6640625" style="360" bestFit="1" customWidth="1"/>
    <col min="12" max="14" width="11" style="360" customWidth="1"/>
    <col min="15" max="15" width="11" style="355" customWidth="1"/>
    <col min="16" max="16" width="11" style="356" customWidth="1"/>
    <col min="17" max="17" width="10.33203125" style="355" customWidth="1"/>
    <col min="18" max="98" width="9.33203125" style="330"/>
    <col min="99" max="16384" width="9.33203125" style="315"/>
  </cols>
  <sheetData>
    <row r="1" spans="2:98" s="309" customFormat="1" ht="23.4" x14ac:dyDescent="0.3">
      <c r="G1" s="310" t="s">
        <v>517</v>
      </c>
      <c r="H1" s="311"/>
      <c r="I1" s="310"/>
      <c r="J1" s="310"/>
      <c r="K1" s="312"/>
      <c r="L1" s="312" t="s">
        <v>440</v>
      </c>
      <c r="M1" s="313">
        <f ca="1">NOW()</f>
        <v>44534.888377546296</v>
      </c>
      <c r="N1" s="312"/>
      <c r="O1" s="311"/>
      <c r="P1" s="314"/>
      <c r="Q1" s="311"/>
    </row>
    <row r="2" spans="2:98" ht="27.6" x14ac:dyDescent="0.3">
      <c r="B2" s="316"/>
      <c r="C2" s="316"/>
      <c r="D2" s="316"/>
      <c r="E2" s="316"/>
      <c r="F2" s="316"/>
      <c r="G2" s="317" t="s">
        <v>12</v>
      </c>
      <c r="H2" s="318" t="s">
        <v>1</v>
      </c>
      <c r="I2" s="317" t="s">
        <v>409</v>
      </c>
      <c r="J2" s="317" t="s">
        <v>2</v>
      </c>
      <c r="K2" s="317" t="s">
        <v>4</v>
      </c>
      <c r="L2" s="317" t="s">
        <v>21</v>
      </c>
      <c r="M2" s="317" t="s">
        <v>11</v>
      </c>
      <c r="N2" s="319" t="s">
        <v>407</v>
      </c>
      <c r="O2" s="318" t="s">
        <v>406</v>
      </c>
      <c r="P2" s="320" t="s">
        <v>408</v>
      </c>
      <c r="Q2" s="318" t="s">
        <v>625</v>
      </c>
      <c r="R2" s="315"/>
      <c r="S2" s="315"/>
      <c r="T2" s="315"/>
      <c r="U2" s="315"/>
      <c r="V2" s="315"/>
      <c r="W2" s="315"/>
      <c r="X2" s="315"/>
      <c r="Y2" s="315"/>
      <c r="Z2" s="315"/>
      <c r="AA2" s="315"/>
      <c r="AB2" s="315"/>
      <c r="AC2" s="315"/>
      <c r="AD2" s="315"/>
      <c r="AE2" s="315"/>
      <c r="AF2" s="315"/>
      <c r="AG2" s="315"/>
      <c r="AH2" s="315"/>
      <c r="AI2" s="315"/>
      <c r="AJ2" s="315"/>
      <c r="AK2" s="315"/>
      <c r="AL2" s="315"/>
      <c r="AM2" s="315"/>
      <c r="AN2" s="315"/>
      <c r="AO2" s="315"/>
      <c r="AP2" s="315"/>
      <c r="AQ2" s="315"/>
      <c r="AR2" s="315"/>
      <c r="AS2" s="315"/>
      <c r="AT2" s="315"/>
      <c r="AU2" s="315"/>
      <c r="AV2" s="315"/>
      <c r="AW2" s="315"/>
      <c r="AX2" s="315"/>
      <c r="AY2" s="315"/>
      <c r="AZ2" s="315"/>
      <c r="BA2" s="315"/>
      <c r="BB2" s="315"/>
      <c r="BC2" s="315"/>
      <c r="BD2" s="315"/>
      <c r="BE2" s="315"/>
      <c r="BF2" s="315"/>
      <c r="BG2" s="315"/>
      <c r="BH2" s="315"/>
      <c r="BI2" s="315"/>
      <c r="BJ2" s="315"/>
      <c r="BK2" s="315"/>
      <c r="BL2" s="315"/>
      <c r="BM2" s="315"/>
      <c r="BN2" s="315"/>
      <c r="BO2" s="315"/>
      <c r="BP2" s="315"/>
      <c r="BQ2" s="315"/>
      <c r="BR2" s="315"/>
      <c r="BS2" s="315"/>
      <c r="BT2" s="315"/>
      <c r="BU2" s="315"/>
      <c r="BV2" s="315"/>
      <c r="BW2" s="315"/>
      <c r="BX2" s="315"/>
      <c r="BY2" s="315"/>
      <c r="BZ2" s="315"/>
      <c r="CA2" s="315"/>
      <c r="CB2" s="315"/>
      <c r="CC2" s="315"/>
      <c r="CD2" s="315"/>
      <c r="CE2" s="315"/>
      <c r="CF2" s="315"/>
      <c r="CG2" s="315"/>
      <c r="CH2" s="315"/>
      <c r="CI2" s="315"/>
      <c r="CJ2" s="315"/>
      <c r="CK2" s="315"/>
      <c r="CL2" s="315"/>
      <c r="CM2" s="315"/>
      <c r="CN2" s="315"/>
      <c r="CO2" s="315"/>
      <c r="CP2" s="315"/>
      <c r="CQ2" s="315"/>
      <c r="CR2" s="315"/>
      <c r="CS2" s="315"/>
      <c r="CT2" s="315"/>
    </row>
    <row r="3" spans="2:98" ht="14.4" customHeight="1" x14ac:dyDescent="0.3">
      <c r="B3" s="316"/>
      <c r="C3" s="316"/>
      <c r="D3" s="316"/>
      <c r="E3" s="316"/>
      <c r="F3" s="316"/>
      <c r="G3" s="321"/>
      <c r="H3" s="322">
        <v>42705</v>
      </c>
      <c r="I3" s="307" t="s">
        <v>5</v>
      </c>
      <c r="J3" s="307"/>
      <c r="K3" s="307" t="s">
        <v>5</v>
      </c>
      <c r="L3" s="323"/>
      <c r="M3" s="323">
        <v>13831.450000000008</v>
      </c>
      <c r="N3" s="323">
        <v>13831.450000000008</v>
      </c>
      <c r="O3" s="324" t="s">
        <v>355</v>
      </c>
      <c r="P3" s="325">
        <v>13831.450000000008</v>
      </c>
      <c r="Q3" s="326"/>
      <c r="R3" s="315"/>
      <c r="S3" s="315"/>
      <c r="T3" s="315"/>
      <c r="U3" s="315"/>
      <c r="V3" s="315"/>
      <c r="W3" s="315"/>
      <c r="X3" s="315"/>
      <c r="Y3" s="315"/>
      <c r="Z3" s="315"/>
      <c r="AA3" s="315"/>
      <c r="AB3" s="315"/>
      <c r="AC3" s="315"/>
      <c r="AD3" s="315"/>
      <c r="AE3" s="315"/>
      <c r="AF3" s="315"/>
      <c r="AG3" s="315"/>
      <c r="AH3" s="315"/>
      <c r="AI3" s="315"/>
      <c r="AJ3" s="315"/>
      <c r="AK3" s="315"/>
      <c r="AL3" s="315"/>
      <c r="AM3" s="315"/>
      <c r="AN3" s="315"/>
      <c r="AO3" s="315"/>
      <c r="AP3" s="315"/>
      <c r="AQ3" s="315"/>
      <c r="AR3" s="315"/>
      <c r="AS3" s="315"/>
      <c r="AT3" s="315"/>
      <c r="AU3" s="315"/>
      <c r="AV3" s="315"/>
      <c r="AW3" s="315"/>
      <c r="AX3" s="315"/>
      <c r="AY3" s="315"/>
      <c r="AZ3" s="315"/>
      <c r="BA3" s="315"/>
      <c r="BB3" s="315"/>
      <c r="BC3" s="315"/>
      <c r="BD3" s="315"/>
      <c r="BE3" s="315"/>
      <c r="BF3" s="315"/>
      <c r="BG3" s="315"/>
      <c r="BH3" s="315"/>
      <c r="BI3" s="315"/>
      <c r="BJ3" s="315"/>
      <c r="BK3" s="315"/>
      <c r="BL3" s="315"/>
      <c r="BM3" s="315"/>
      <c r="BN3" s="315"/>
      <c r="BO3" s="315"/>
      <c r="BP3" s="315"/>
      <c r="BQ3" s="315"/>
      <c r="BR3" s="315"/>
      <c r="BS3" s="315"/>
      <c r="BT3" s="315"/>
      <c r="BU3" s="315"/>
      <c r="BV3" s="315"/>
      <c r="BW3" s="315"/>
      <c r="BX3" s="315"/>
      <c r="BY3" s="315"/>
      <c r="BZ3" s="315"/>
      <c r="CA3" s="315"/>
      <c r="CB3" s="315"/>
      <c r="CC3" s="315"/>
      <c r="CD3" s="315"/>
      <c r="CE3" s="315"/>
      <c r="CF3" s="315"/>
      <c r="CG3" s="315"/>
      <c r="CH3" s="315"/>
      <c r="CI3" s="315"/>
      <c r="CJ3" s="315"/>
      <c r="CK3" s="315"/>
      <c r="CL3" s="315"/>
      <c r="CM3" s="315"/>
      <c r="CN3" s="315"/>
      <c r="CO3" s="315"/>
      <c r="CP3" s="315"/>
      <c r="CQ3" s="315"/>
      <c r="CR3" s="315"/>
      <c r="CS3" s="315"/>
      <c r="CT3" s="315"/>
    </row>
    <row r="4" spans="2:98" ht="14.4" customHeight="1" x14ac:dyDescent="0.3">
      <c r="B4" s="316"/>
      <c r="C4" s="316"/>
      <c r="D4" s="316"/>
      <c r="E4" s="316"/>
      <c r="F4" s="316"/>
      <c r="G4" s="321"/>
      <c r="H4" s="322">
        <v>42705</v>
      </c>
      <c r="I4" s="307" t="s">
        <v>55</v>
      </c>
      <c r="J4" s="307"/>
      <c r="K4" s="307" t="s">
        <v>55</v>
      </c>
      <c r="L4" s="323">
        <v>3000</v>
      </c>
      <c r="M4" s="323" t="s">
        <v>576</v>
      </c>
      <c r="N4" s="323">
        <f>IF(ISBLANK(CkReg16_18[[#This Row],[Withdrawal]]),N3+CkReg16_18[[#This Row],[Deposit]],N3-CkReg16_18[[#This Row],[Withdrawal]])</f>
        <v>10831.450000000008</v>
      </c>
      <c r="O4" s="324"/>
      <c r="P4" s="325">
        <v>13831.450000000008</v>
      </c>
      <c r="Q4" s="326"/>
      <c r="R4" s="315"/>
      <c r="S4" s="315"/>
      <c r="T4" s="315"/>
      <c r="U4" s="315"/>
      <c r="V4" s="315"/>
      <c r="W4" s="315"/>
      <c r="X4" s="315"/>
      <c r="Y4" s="315"/>
      <c r="Z4" s="315"/>
      <c r="AA4" s="315"/>
      <c r="AB4" s="315"/>
      <c r="AC4" s="315"/>
      <c r="AD4" s="315"/>
      <c r="AE4" s="315"/>
      <c r="AF4" s="315"/>
      <c r="AG4" s="315"/>
      <c r="AH4" s="315"/>
      <c r="AI4" s="315"/>
      <c r="AJ4" s="315"/>
      <c r="AK4" s="315"/>
      <c r="AL4" s="315"/>
      <c r="AM4" s="315"/>
      <c r="AN4" s="315"/>
      <c r="AO4" s="315"/>
      <c r="AP4" s="315"/>
      <c r="AQ4" s="315"/>
      <c r="AR4" s="315"/>
      <c r="AS4" s="315"/>
      <c r="AT4" s="315"/>
      <c r="AU4" s="315"/>
      <c r="AV4" s="315"/>
      <c r="AW4" s="315"/>
      <c r="AX4" s="315"/>
      <c r="AY4" s="315"/>
      <c r="AZ4" s="315"/>
      <c r="BA4" s="315"/>
      <c r="BB4" s="315"/>
      <c r="BC4" s="315"/>
      <c r="BD4" s="315"/>
      <c r="BE4" s="315"/>
      <c r="BF4" s="315"/>
      <c r="BG4" s="315"/>
      <c r="BH4" s="315"/>
      <c r="BI4" s="315"/>
      <c r="BJ4" s="315"/>
      <c r="BK4" s="315"/>
      <c r="BL4" s="315"/>
      <c r="BM4" s="315"/>
      <c r="BN4" s="315"/>
      <c r="BO4" s="315"/>
      <c r="BP4" s="315"/>
      <c r="BQ4" s="315"/>
      <c r="BR4" s="315"/>
      <c r="BS4" s="315"/>
      <c r="BT4" s="315"/>
      <c r="BU4" s="315"/>
      <c r="BV4" s="315"/>
      <c r="BW4" s="315"/>
      <c r="BX4" s="315"/>
      <c r="BY4" s="315"/>
      <c r="BZ4" s="315"/>
      <c r="CA4" s="315"/>
      <c r="CB4" s="315"/>
      <c r="CC4" s="315"/>
      <c r="CD4" s="315"/>
      <c r="CE4" s="315"/>
      <c r="CF4" s="315"/>
      <c r="CG4" s="315"/>
      <c r="CH4" s="315"/>
      <c r="CI4" s="315"/>
      <c r="CJ4" s="315"/>
      <c r="CK4" s="315"/>
      <c r="CL4" s="315"/>
      <c r="CM4" s="315"/>
      <c r="CN4" s="315"/>
      <c r="CO4" s="315"/>
      <c r="CP4" s="315"/>
      <c r="CQ4" s="315"/>
      <c r="CR4" s="315"/>
      <c r="CS4" s="315"/>
      <c r="CT4" s="315"/>
    </row>
    <row r="5" spans="2:98" ht="14.4" customHeight="1" x14ac:dyDescent="0.3">
      <c r="B5" s="316"/>
      <c r="C5" s="316"/>
      <c r="D5" s="316"/>
      <c r="E5" s="316"/>
      <c r="F5" s="316"/>
      <c r="G5" s="321"/>
      <c r="H5" s="322">
        <v>42705</v>
      </c>
      <c r="I5" s="307" t="s">
        <v>56</v>
      </c>
      <c r="J5" s="307"/>
      <c r="K5" s="307" t="s">
        <v>56</v>
      </c>
      <c r="L5" s="323">
        <v>4000</v>
      </c>
      <c r="M5" s="323"/>
      <c r="N5" s="323">
        <f>IF(ISBLANK(CkReg16_18[[#This Row],[Withdrawal]]),N4+CkReg16_18[[#This Row],[Deposit]],N4-CkReg16_18[[#This Row],[Withdrawal]])</f>
        <v>6831.450000000008</v>
      </c>
      <c r="O5" s="324"/>
      <c r="P5" s="325">
        <v>13831.450000000008</v>
      </c>
      <c r="Q5" s="326"/>
      <c r="R5" s="315"/>
      <c r="S5" s="315"/>
      <c r="T5" s="315"/>
      <c r="U5" s="315"/>
      <c r="V5" s="315"/>
      <c r="W5" s="315"/>
      <c r="X5" s="315"/>
      <c r="Y5" s="315"/>
      <c r="Z5" s="315"/>
      <c r="AA5" s="315"/>
      <c r="AB5" s="315"/>
      <c r="AC5" s="315"/>
      <c r="AD5" s="315"/>
      <c r="AE5" s="315"/>
      <c r="AF5" s="315"/>
      <c r="AG5" s="315"/>
      <c r="AH5" s="315"/>
      <c r="AI5" s="315"/>
      <c r="AJ5" s="315"/>
      <c r="AK5" s="315"/>
      <c r="AL5" s="315"/>
      <c r="AM5" s="315"/>
      <c r="AN5" s="315"/>
      <c r="AO5" s="315"/>
      <c r="AP5" s="315"/>
      <c r="AQ5" s="315"/>
      <c r="AR5" s="315"/>
      <c r="AS5" s="315"/>
      <c r="AT5" s="315"/>
      <c r="AU5" s="315"/>
      <c r="AV5" s="315"/>
      <c r="AW5" s="315"/>
      <c r="AX5" s="315"/>
      <c r="AY5" s="315"/>
      <c r="AZ5" s="315"/>
      <c r="BA5" s="315"/>
      <c r="BB5" s="315"/>
      <c r="BC5" s="315"/>
      <c r="BD5" s="315"/>
      <c r="BE5" s="315"/>
      <c r="BF5" s="315"/>
      <c r="BG5" s="315"/>
      <c r="BH5" s="315"/>
      <c r="BI5" s="315"/>
      <c r="BJ5" s="315"/>
      <c r="BK5" s="315"/>
      <c r="BL5" s="315"/>
      <c r="BM5" s="315"/>
      <c r="BN5" s="315"/>
      <c r="BO5" s="315"/>
      <c r="BP5" s="315"/>
      <c r="BQ5" s="315"/>
      <c r="BR5" s="315"/>
      <c r="BS5" s="315"/>
      <c r="BT5" s="315"/>
      <c r="BU5" s="315"/>
      <c r="BV5" s="315"/>
      <c r="BW5" s="315"/>
      <c r="BX5" s="315"/>
      <c r="BY5" s="315"/>
      <c r="BZ5" s="315"/>
      <c r="CA5" s="315"/>
      <c r="CB5" s="315"/>
      <c r="CC5" s="315"/>
      <c r="CD5" s="315"/>
      <c r="CE5" s="315"/>
      <c r="CF5" s="315"/>
      <c r="CG5" s="315"/>
      <c r="CH5" s="315"/>
      <c r="CI5" s="315"/>
      <c r="CJ5" s="315"/>
      <c r="CK5" s="315"/>
      <c r="CL5" s="315"/>
      <c r="CM5" s="315"/>
      <c r="CN5" s="315"/>
      <c r="CO5" s="315"/>
      <c r="CP5" s="315"/>
      <c r="CQ5" s="315"/>
      <c r="CR5" s="315"/>
      <c r="CS5" s="315"/>
      <c r="CT5" s="315"/>
    </row>
    <row r="6" spans="2:98" ht="14.4" customHeight="1" x14ac:dyDescent="0.3">
      <c r="B6" s="316"/>
      <c r="C6" s="316"/>
      <c r="D6" s="316"/>
      <c r="E6" s="316"/>
      <c r="F6" s="316"/>
      <c r="G6" s="321"/>
      <c r="H6" s="322">
        <v>42705</v>
      </c>
      <c r="I6" s="307" t="s">
        <v>391</v>
      </c>
      <c r="J6" s="307"/>
      <c r="K6" s="307" t="s">
        <v>703</v>
      </c>
      <c r="L6" s="323">
        <v>2790</v>
      </c>
      <c r="M6" s="323"/>
      <c r="N6" s="323">
        <f>IF(ISBLANK(CkReg16_18[[#This Row],[Withdrawal]]),N5+CkReg16_18[[#This Row],[Deposit]],N5-CkReg16_18[[#This Row],[Withdrawal]])</f>
        <v>4041.450000000008</v>
      </c>
      <c r="O6" s="324"/>
      <c r="P6" s="325">
        <v>13831.450000000008</v>
      </c>
      <c r="Q6" s="326"/>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15"/>
      <c r="AS6" s="315"/>
      <c r="AT6" s="315"/>
      <c r="AU6" s="315"/>
      <c r="AV6" s="315"/>
      <c r="AW6" s="315"/>
      <c r="AX6" s="315"/>
      <c r="AY6" s="315"/>
      <c r="AZ6" s="315"/>
      <c r="BA6" s="315"/>
      <c r="BB6" s="315"/>
      <c r="BC6" s="315"/>
      <c r="BD6" s="315"/>
      <c r="BE6" s="315"/>
      <c r="BF6" s="315"/>
      <c r="BG6" s="315"/>
      <c r="BH6" s="315"/>
      <c r="BI6" s="315"/>
      <c r="BJ6" s="315"/>
      <c r="BK6" s="315"/>
      <c r="BL6" s="315"/>
      <c r="BM6" s="315"/>
      <c r="BN6" s="315"/>
      <c r="BO6" s="315"/>
      <c r="BP6" s="315"/>
      <c r="BQ6" s="315"/>
      <c r="BR6" s="315"/>
      <c r="BS6" s="315"/>
      <c r="BT6" s="315"/>
      <c r="BU6" s="315"/>
      <c r="BV6" s="315"/>
      <c r="BW6" s="315"/>
      <c r="BX6" s="315"/>
      <c r="BY6" s="315"/>
      <c r="BZ6" s="315"/>
      <c r="CA6" s="315"/>
      <c r="CB6" s="315"/>
      <c r="CC6" s="315"/>
      <c r="CD6" s="315"/>
      <c r="CE6" s="315"/>
      <c r="CF6" s="315"/>
      <c r="CG6" s="315"/>
      <c r="CH6" s="315"/>
      <c r="CI6" s="315"/>
      <c r="CJ6" s="315"/>
      <c r="CK6" s="315"/>
      <c r="CL6" s="315"/>
      <c r="CM6" s="315"/>
      <c r="CN6" s="315"/>
      <c r="CO6" s="315"/>
      <c r="CP6" s="315"/>
      <c r="CQ6" s="315"/>
      <c r="CR6" s="315"/>
      <c r="CS6" s="315"/>
      <c r="CT6" s="315"/>
    </row>
    <row r="7" spans="2:98" ht="14.4" customHeight="1" x14ac:dyDescent="0.3">
      <c r="B7" s="316"/>
      <c r="C7" s="316"/>
      <c r="D7" s="316"/>
      <c r="E7" s="316"/>
      <c r="F7" s="316"/>
      <c r="G7" s="321"/>
      <c r="H7" s="322">
        <v>42735</v>
      </c>
      <c r="I7" s="307" t="s">
        <v>600</v>
      </c>
      <c r="J7" s="307" t="s">
        <v>601</v>
      </c>
      <c r="K7" s="307" t="s">
        <v>44</v>
      </c>
      <c r="L7" s="323">
        <v>-175</v>
      </c>
      <c r="M7" s="323"/>
      <c r="N7" s="323">
        <f>IF(ISBLANK(CkReg16_18[[#This Row],[Withdrawal]]),N6+CkReg16_18[[#This Row],[Deposit]],N6-CkReg16_18[[#This Row],[Withdrawal]])</f>
        <v>4216.450000000008</v>
      </c>
      <c r="O7" s="324">
        <v>42705</v>
      </c>
      <c r="P7" s="323">
        <f>IF(ISBLANK(CkReg16_18[[#This Row],[Withdrawal]]),P6+CkReg16_18[[#This Row],[Deposit]],P6-CkReg16_18[[#This Row],[Withdrawal]])</f>
        <v>14006.450000000008</v>
      </c>
      <c r="Q7" s="326"/>
      <c r="R7" s="315"/>
      <c r="S7" s="315"/>
      <c r="T7" s="315"/>
      <c r="U7" s="315"/>
      <c r="V7" s="315"/>
      <c r="W7" s="315"/>
      <c r="X7" s="315"/>
      <c r="Y7" s="315"/>
      <c r="Z7" s="315"/>
      <c r="AA7" s="315"/>
      <c r="AB7" s="315"/>
      <c r="AC7" s="315"/>
      <c r="AD7" s="315"/>
      <c r="AE7" s="315"/>
      <c r="AF7" s="315"/>
      <c r="AG7" s="315"/>
      <c r="AH7" s="315"/>
      <c r="AI7" s="315"/>
      <c r="AJ7" s="315"/>
      <c r="AK7" s="315"/>
      <c r="AL7" s="315"/>
      <c r="AM7" s="315"/>
      <c r="AN7" s="315"/>
      <c r="AO7" s="315"/>
      <c r="AP7" s="315"/>
      <c r="AQ7" s="315"/>
      <c r="AR7" s="315"/>
      <c r="AS7" s="315"/>
      <c r="AT7" s="315"/>
      <c r="AU7" s="315"/>
      <c r="AV7" s="315"/>
      <c r="AW7" s="315"/>
      <c r="AX7" s="315"/>
      <c r="AY7" s="315"/>
      <c r="AZ7" s="315"/>
      <c r="BA7" s="315"/>
      <c r="BB7" s="315"/>
      <c r="BC7" s="315"/>
      <c r="BD7" s="315"/>
      <c r="BE7" s="315"/>
      <c r="BF7" s="315"/>
      <c r="BG7" s="315"/>
      <c r="BH7" s="315"/>
      <c r="BI7" s="315"/>
      <c r="BJ7" s="315"/>
      <c r="BK7" s="315"/>
      <c r="BL7" s="315"/>
      <c r="BM7" s="315"/>
      <c r="BN7" s="315"/>
      <c r="BO7" s="315"/>
      <c r="BP7" s="315"/>
      <c r="BQ7" s="315"/>
      <c r="BR7" s="315"/>
      <c r="BS7" s="315"/>
      <c r="BT7" s="315"/>
      <c r="BU7" s="315"/>
      <c r="BV7" s="315"/>
      <c r="BW7" s="315"/>
      <c r="BX7" s="315"/>
      <c r="BY7" s="315"/>
      <c r="BZ7" s="315"/>
      <c r="CA7" s="315"/>
      <c r="CB7" s="315"/>
      <c r="CC7" s="315"/>
      <c r="CD7" s="315"/>
      <c r="CE7" s="315"/>
      <c r="CF7" s="315"/>
      <c r="CG7" s="315"/>
      <c r="CH7" s="315"/>
      <c r="CI7" s="315"/>
      <c r="CJ7" s="315"/>
      <c r="CK7" s="315"/>
      <c r="CL7" s="315"/>
      <c r="CM7" s="315"/>
      <c r="CN7" s="315"/>
      <c r="CO7" s="315"/>
      <c r="CP7" s="315"/>
      <c r="CQ7" s="315"/>
      <c r="CR7" s="315"/>
      <c r="CS7" s="315"/>
      <c r="CT7" s="315"/>
    </row>
    <row r="8" spans="2:98" ht="14.4" customHeight="1" x14ac:dyDescent="0.3">
      <c r="B8" s="316"/>
      <c r="C8" s="316"/>
      <c r="D8" s="316"/>
      <c r="E8" s="316"/>
      <c r="F8" s="316"/>
      <c r="G8" s="321" t="s">
        <v>560</v>
      </c>
      <c r="H8" s="322">
        <v>42707</v>
      </c>
      <c r="I8" s="307" t="s">
        <v>362</v>
      </c>
      <c r="J8" s="307" t="s">
        <v>39</v>
      </c>
      <c r="K8" s="307" t="s">
        <v>36</v>
      </c>
      <c r="L8" s="323">
        <f>0.2*46.31</f>
        <v>9.2620000000000005</v>
      </c>
      <c r="M8" s="323"/>
      <c r="N8" s="323">
        <f>IF(ISBLANK(CkReg16_18[[#This Row],[Withdrawal]]),N7+CkReg16_18[[#This Row],[Deposit]],N7-CkReg16_18[[#This Row],[Withdrawal]])</f>
        <v>4207.1880000000083</v>
      </c>
      <c r="O8" s="324">
        <v>42709</v>
      </c>
      <c r="P8" s="323">
        <f>IF(ISBLANK(CkReg16_18[[#This Row],[Withdrawal]]),P7+CkReg16_18[[#This Row],[Deposit]],P7-CkReg16_18[[#This Row],[Withdrawal]])</f>
        <v>13997.188000000007</v>
      </c>
      <c r="Q8" s="326"/>
      <c r="R8" s="315"/>
      <c r="S8" s="315"/>
      <c r="T8" s="315"/>
      <c r="U8" s="315"/>
      <c r="V8" s="315"/>
      <c r="W8" s="315"/>
      <c r="X8" s="315"/>
      <c r="Y8" s="315"/>
      <c r="Z8" s="315"/>
      <c r="AA8" s="315"/>
      <c r="AB8" s="315"/>
      <c r="AC8" s="315"/>
      <c r="AD8" s="315"/>
      <c r="AE8" s="315"/>
      <c r="AF8" s="315"/>
      <c r="AG8" s="315"/>
      <c r="AH8" s="315"/>
      <c r="AI8" s="315"/>
      <c r="AJ8" s="315"/>
      <c r="AK8" s="315"/>
      <c r="AL8" s="315"/>
      <c r="AM8" s="315"/>
      <c r="AN8" s="315"/>
      <c r="AO8" s="315"/>
      <c r="AP8" s="315"/>
      <c r="AQ8" s="315"/>
      <c r="AR8" s="315"/>
      <c r="AS8" s="315"/>
      <c r="AT8" s="315"/>
      <c r="AU8" s="315"/>
      <c r="AV8" s="315"/>
      <c r="AW8" s="315"/>
      <c r="AX8" s="315"/>
      <c r="AY8" s="315"/>
      <c r="AZ8" s="315"/>
      <c r="BA8" s="315"/>
      <c r="BB8" s="315"/>
      <c r="BC8" s="315"/>
      <c r="BD8" s="315"/>
      <c r="BE8" s="315"/>
      <c r="BF8" s="315"/>
      <c r="BG8" s="315"/>
      <c r="BH8" s="315"/>
      <c r="BI8" s="315"/>
      <c r="BJ8" s="315"/>
      <c r="BK8" s="315"/>
      <c r="BL8" s="315"/>
      <c r="BM8" s="315"/>
      <c r="BN8" s="315"/>
      <c r="BO8" s="315"/>
      <c r="BP8" s="315"/>
      <c r="BQ8" s="315"/>
      <c r="BR8" s="315"/>
      <c r="BS8" s="315"/>
      <c r="BT8" s="315"/>
      <c r="BU8" s="315"/>
      <c r="BV8" s="315"/>
      <c r="BW8" s="315"/>
      <c r="BX8" s="315"/>
      <c r="BY8" s="315"/>
      <c r="BZ8" s="315"/>
      <c r="CA8" s="315"/>
      <c r="CB8" s="315"/>
      <c r="CC8" s="315"/>
      <c r="CD8" s="315"/>
      <c r="CE8" s="315"/>
      <c r="CF8" s="315"/>
      <c r="CG8" s="315"/>
      <c r="CH8" s="315"/>
      <c r="CI8" s="315"/>
      <c r="CJ8" s="315"/>
      <c r="CK8" s="315"/>
      <c r="CL8" s="315"/>
      <c r="CM8" s="315"/>
      <c r="CN8" s="315"/>
      <c r="CO8" s="315"/>
      <c r="CP8" s="315"/>
      <c r="CQ8" s="315"/>
      <c r="CR8" s="315"/>
      <c r="CS8" s="315"/>
      <c r="CT8" s="315"/>
    </row>
    <row r="9" spans="2:98" ht="14.4" customHeight="1" x14ac:dyDescent="0.3">
      <c r="B9" s="316"/>
      <c r="C9" s="316"/>
      <c r="D9" s="316"/>
      <c r="E9" s="316"/>
      <c r="F9" s="316"/>
      <c r="G9" s="321" t="s">
        <v>560</v>
      </c>
      <c r="H9" s="322">
        <v>42707</v>
      </c>
      <c r="I9" s="307" t="s">
        <v>362</v>
      </c>
      <c r="J9" s="307" t="s">
        <v>39</v>
      </c>
      <c r="K9" s="307" t="s">
        <v>39</v>
      </c>
      <c r="L9" s="323">
        <f>46.31-4.63-4.63</f>
        <v>37.049999999999997</v>
      </c>
      <c r="M9" s="323"/>
      <c r="N9" s="323">
        <f>IF(ISBLANK(CkReg16_18[[#This Row],[Withdrawal]]),N8+CkReg16_18[[#This Row],[Deposit]],N8-CkReg16_18[[#This Row],[Withdrawal]])</f>
        <v>4170.1380000000081</v>
      </c>
      <c r="O9" s="324">
        <v>42709</v>
      </c>
      <c r="P9" s="323">
        <f>IF(ISBLANK(CkReg16_18[[#This Row],[Withdrawal]]),P8+CkReg16_18[[#This Row],[Deposit]],P8-CkReg16_18[[#This Row],[Withdrawal]])</f>
        <v>13960.138000000008</v>
      </c>
      <c r="Q9" s="326"/>
      <c r="R9" s="315"/>
      <c r="S9" s="315"/>
      <c r="T9" s="315"/>
      <c r="U9" s="315"/>
      <c r="V9" s="315"/>
      <c r="W9" s="315"/>
      <c r="X9" s="315"/>
      <c r="Y9" s="315"/>
      <c r="Z9" s="315"/>
      <c r="AA9" s="315"/>
      <c r="AB9" s="315"/>
      <c r="AC9" s="315"/>
      <c r="AD9" s="315"/>
      <c r="AE9" s="315"/>
      <c r="AF9" s="315"/>
      <c r="AG9" s="315"/>
      <c r="AH9" s="315"/>
      <c r="AI9" s="315"/>
      <c r="AJ9" s="315"/>
      <c r="AK9" s="315"/>
      <c r="AL9" s="315"/>
      <c r="AM9" s="315"/>
      <c r="AN9" s="315"/>
      <c r="AO9" s="315"/>
      <c r="AP9" s="315"/>
      <c r="AQ9" s="315"/>
      <c r="AR9" s="315"/>
      <c r="AS9" s="315"/>
      <c r="AT9" s="315"/>
      <c r="AU9" s="315"/>
      <c r="AV9" s="315"/>
      <c r="AW9" s="315"/>
      <c r="AX9" s="315"/>
      <c r="AY9" s="315"/>
      <c r="AZ9" s="315"/>
      <c r="BA9" s="315"/>
      <c r="BB9" s="315"/>
      <c r="BC9" s="315"/>
      <c r="BD9" s="315"/>
      <c r="BE9" s="315"/>
      <c r="BF9" s="315"/>
      <c r="BG9" s="315"/>
      <c r="BH9" s="315"/>
      <c r="BI9" s="315"/>
      <c r="BJ9" s="315"/>
      <c r="BK9" s="315"/>
      <c r="BL9" s="315"/>
      <c r="BM9" s="315"/>
      <c r="BN9" s="315"/>
      <c r="BO9" s="315"/>
      <c r="BP9" s="315"/>
      <c r="BQ9" s="315"/>
      <c r="BR9" s="315"/>
      <c r="BS9" s="315"/>
      <c r="BT9" s="315"/>
      <c r="BU9" s="315"/>
      <c r="BV9" s="315"/>
      <c r="BW9" s="315"/>
      <c r="BX9" s="315"/>
      <c r="BY9" s="315"/>
      <c r="BZ9" s="315"/>
      <c r="CA9" s="315"/>
      <c r="CB9" s="315"/>
      <c r="CC9" s="315"/>
      <c r="CD9" s="315"/>
      <c r="CE9" s="315"/>
      <c r="CF9" s="315"/>
      <c r="CG9" s="315"/>
      <c r="CH9" s="315"/>
      <c r="CI9" s="315"/>
      <c r="CJ9" s="315"/>
      <c r="CK9" s="315"/>
      <c r="CL9" s="315"/>
      <c r="CM9" s="315"/>
      <c r="CN9" s="315"/>
      <c r="CO9" s="315"/>
      <c r="CP9" s="315"/>
      <c r="CQ9" s="315"/>
      <c r="CR9" s="315"/>
      <c r="CS9" s="315"/>
      <c r="CT9" s="315"/>
    </row>
    <row r="10" spans="2:98" ht="14.4" customHeight="1" x14ac:dyDescent="0.3">
      <c r="B10" s="316"/>
      <c r="C10" s="316"/>
      <c r="D10" s="316"/>
      <c r="E10" s="316"/>
      <c r="F10" s="316"/>
      <c r="G10" s="321" t="s">
        <v>561</v>
      </c>
      <c r="H10" s="322">
        <v>42707</v>
      </c>
      <c r="I10" s="307" t="s">
        <v>562</v>
      </c>
      <c r="J10" s="307" t="s">
        <v>142</v>
      </c>
      <c r="K10" s="307" t="s">
        <v>43</v>
      </c>
      <c r="L10" s="323">
        <v>75</v>
      </c>
      <c r="M10" s="323"/>
      <c r="N10" s="323">
        <f>IF(ISBLANK(CkReg16_18[[#This Row],[Withdrawal]]),N9+CkReg16_18[[#This Row],[Deposit]],N9-CkReg16_18[[#This Row],[Withdrawal]])</f>
        <v>4095.1380000000081</v>
      </c>
      <c r="O10" s="324">
        <v>42723</v>
      </c>
      <c r="P10" s="323">
        <f>IF(ISBLANK(CkReg16_18[[#This Row],[Withdrawal]]),P9+CkReg16_18[[#This Row],[Deposit]],P9-CkReg16_18[[#This Row],[Withdrawal]])</f>
        <v>13885.138000000008</v>
      </c>
      <c r="Q10" s="326"/>
      <c r="R10" s="315"/>
      <c r="S10" s="315"/>
      <c r="T10" s="315"/>
      <c r="U10" s="315"/>
      <c r="V10" s="315"/>
      <c r="W10" s="315"/>
      <c r="X10" s="315"/>
      <c r="Y10" s="315"/>
      <c r="Z10" s="315"/>
      <c r="AA10" s="315"/>
      <c r="AB10" s="315"/>
      <c r="AC10" s="315"/>
      <c r="AD10" s="315"/>
      <c r="AE10" s="315"/>
      <c r="AF10" s="315"/>
      <c r="AG10" s="315"/>
      <c r="AH10" s="315"/>
      <c r="AI10" s="315"/>
      <c r="AJ10" s="315"/>
      <c r="AK10" s="315"/>
      <c r="AL10" s="315"/>
      <c r="AM10" s="315"/>
      <c r="AN10" s="315"/>
      <c r="AO10" s="315"/>
      <c r="AP10" s="315"/>
      <c r="AQ10" s="315"/>
      <c r="AR10" s="315"/>
      <c r="AS10" s="315"/>
      <c r="AT10" s="315"/>
      <c r="AU10" s="315"/>
      <c r="AV10" s="315"/>
      <c r="AW10" s="315"/>
      <c r="AX10" s="315"/>
      <c r="AY10" s="315"/>
      <c r="AZ10" s="315"/>
      <c r="BA10" s="315"/>
      <c r="BB10" s="315"/>
      <c r="BC10" s="315"/>
      <c r="BD10" s="315"/>
      <c r="BE10" s="315"/>
      <c r="BF10" s="315"/>
      <c r="BG10" s="315"/>
      <c r="BH10" s="315"/>
      <c r="BI10" s="315"/>
      <c r="BJ10" s="315"/>
      <c r="BK10" s="315"/>
      <c r="BL10" s="315"/>
      <c r="BM10" s="315"/>
      <c r="BN10" s="315"/>
      <c r="BO10" s="315"/>
      <c r="BP10" s="315"/>
      <c r="BQ10" s="315"/>
      <c r="BR10" s="315"/>
      <c r="BS10" s="315"/>
      <c r="BT10" s="315"/>
      <c r="BU10" s="315"/>
      <c r="BV10" s="315"/>
      <c r="BW10" s="315"/>
      <c r="BX10" s="315"/>
      <c r="BY10" s="315"/>
      <c r="BZ10" s="315"/>
      <c r="CA10" s="315"/>
      <c r="CB10" s="315"/>
      <c r="CC10" s="315"/>
      <c r="CD10" s="315"/>
      <c r="CE10" s="315"/>
      <c r="CF10" s="315"/>
      <c r="CG10" s="315"/>
      <c r="CH10" s="315"/>
      <c r="CI10" s="315"/>
      <c r="CJ10" s="315"/>
      <c r="CK10" s="315"/>
      <c r="CL10" s="315"/>
      <c r="CM10" s="315"/>
      <c r="CN10" s="315"/>
      <c r="CO10" s="315"/>
      <c r="CP10" s="315"/>
      <c r="CQ10" s="315"/>
      <c r="CR10" s="315"/>
      <c r="CS10" s="315"/>
      <c r="CT10" s="315"/>
    </row>
    <row r="11" spans="2:98" ht="14.4" customHeight="1" x14ac:dyDescent="0.3">
      <c r="B11" s="316"/>
      <c r="C11" s="316"/>
      <c r="D11" s="316"/>
      <c r="E11" s="316"/>
      <c r="F11" s="316"/>
      <c r="G11" s="321" t="s">
        <v>563</v>
      </c>
      <c r="H11" s="322">
        <v>42707</v>
      </c>
      <c r="I11" s="307" t="s">
        <v>564</v>
      </c>
      <c r="J11" s="307" t="s">
        <v>565</v>
      </c>
      <c r="K11" s="307" t="s">
        <v>52</v>
      </c>
      <c r="L11" s="323">
        <v>15</v>
      </c>
      <c r="M11" s="323"/>
      <c r="N11" s="323">
        <f>IF(ISBLANK(CkReg16_18[[#This Row],[Withdrawal]]),N10+CkReg16_18[[#This Row],[Deposit]],N10-CkReg16_18[[#This Row],[Withdrawal]])</f>
        <v>4080.1380000000081</v>
      </c>
      <c r="O11" s="324">
        <v>42711</v>
      </c>
      <c r="P11" s="323">
        <f>IF(ISBLANK(CkReg16_18[[#This Row],[Withdrawal]]),P10+CkReg16_18[[#This Row],[Deposit]],P10-CkReg16_18[[#This Row],[Withdrawal]])</f>
        <v>13870.138000000008</v>
      </c>
      <c r="Q11" s="326"/>
      <c r="R11" s="315"/>
      <c r="S11" s="315"/>
      <c r="T11" s="315"/>
      <c r="U11" s="315"/>
      <c r="V11" s="315"/>
      <c r="W11" s="315"/>
      <c r="X11" s="315"/>
      <c r="Y11" s="315"/>
      <c r="Z11" s="315"/>
      <c r="AA11" s="315"/>
      <c r="AB11" s="315"/>
      <c r="AC11" s="315"/>
      <c r="AD11" s="315"/>
      <c r="AE11" s="315"/>
      <c r="AF11" s="315"/>
      <c r="AG11" s="315"/>
      <c r="AH11" s="315"/>
      <c r="AI11" s="315"/>
      <c r="AJ11" s="315"/>
      <c r="AK11" s="315"/>
      <c r="AL11" s="315"/>
      <c r="AM11" s="315"/>
      <c r="AN11" s="315"/>
      <c r="AO11" s="315"/>
      <c r="AP11" s="315"/>
      <c r="AQ11" s="315"/>
      <c r="AR11" s="315"/>
      <c r="AS11" s="315"/>
      <c r="AT11" s="315"/>
      <c r="AU11" s="315"/>
      <c r="AV11" s="315"/>
      <c r="AW11" s="315"/>
      <c r="AX11" s="315"/>
      <c r="AY11" s="315"/>
      <c r="AZ11" s="315"/>
      <c r="BA11" s="315"/>
      <c r="BB11" s="315"/>
      <c r="BC11" s="315"/>
      <c r="BD11" s="315"/>
      <c r="BE11" s="315"/>
      <c r="BF11" s="315"/>
      <c r="BG11" s="315"/>
      <c r="BH11" s="315"/>
      <c r="BI11" s="315"/>
      <c r="BJ11" s="315"/>
      <c r="BK11" s="315"/>
      <c r="BL11" s="315"/>
      <c r="BM11" s="315"/>
      <c r="BN11" s="315"/>
      <c r="BO11" s="315"/>
      <c r="BP11" s="315"/>
      <c r="BQ11" s="315"/>
      <c r="BR11" s="315"/>
      <c r="BS11" s="315"/>
      <c r="BT11" s="315"/>
      <c r="BU11" s="315"/>
      <c r="BV11" s="315"/>
      <c r="BW11" s="315"/>
      <c r="BX11" s="315"/>
      <c r="BY11" s="315"/>
      <c r="BZ11" s="315"/>
      <c r="CA11" s="315"/>
      <c r="CB11" s="315"/>
      <c r="CC11" s="315"/>
      <c r="CD11" s="315"/>
      <c r="CE11" s="315"/>
      <c r="CF11" s="315"/>
      <c r="CG11" s="315"/>
      <c r="CH11" s="315"/>
      <c r="CI11" s="315"/>
      <c r="CJ11" s="315"/>
      <c r="CK11" s="315"/>
      <c r="CL11" s="315"/>
      <c r="CM11" s="315"/>
      <c r="CN11" s="315"/>
      <c r="CO11" s="315"/>
      <c r="CP11" s="315"/>
      <c r="CQ11" s="315"/>
      <c r="CR11" s="315"/>
      <c r="CS11" s="315"/>
      <c r="CT11" s="315"/>
    </row>
    <row r="12" spans="2:98" ht="14.4" customHeight="1" x14ac:dyDescent="0.3">
      <c r="B12" s="316"/>
      <c r="C12" s="316"/>
      <c r="D12" s="316"/>
      <c r="E12" s="316"/>
      <c r="F12" s="316"/>
      <c r="G12" s="321">
        <v>409981</v>
      </c>
      <c r="H12" s="322">
        <v>42707</v>
      </c>
      <c r="I12" s="307" t="s">
        <v>396</v>
      </c>
      <c r="J12" s="307"/>
      <c r="K12" s="307" t="s">
        <v>32</v>
      </c>
      <c r="L12" s="323"/>
      <c r="M12" s="323">
        <v>50</v>
      </c>
      <c r="N12" s="323">
        <f>IF(ISBLANK(CkReg16_18[[#This Row],[Withdrawal]]),N11+CkReg16_18[[#This Row],[Deposit]],N11-CkReg16_18[[#This Row],[Withdrawal]])</f>
        <v>4130.1380000000081</v>
      </c>
      <c r="O12" s="324">
        <v>42709</v>
      </c>
      <c r="P12" s="323">
        <f>IF(ISBLANK(CkReg16_18[[#This Row],[Withdrawal]]),P11+CkReg16_18[[#This Row],[Deposit]],P11-CkReg16_18[[#This Row],[Withdrawal]])</f>
        <v>13920.138000000008</v>
      </c>
      <c r="Q12" s="326"/>
      <c r="R12" s="315"/>
      <c r="S12" s="315"/>
      <c r="T12" s="315"/>
      <c r="U12" s="315"/>
      <c r="V12" s="315"/>
      <c r="W12" s="315"/>
      <c r="X12" s="315"/>
      <c r="Y12" s="315"/>
      <c r="Z12" s="315"/>
      <c r="AA12" s="315"/>
      <c r="AB12" s="315"/>
      <c r="AC12" s="315"/>
      <c r="AD12" s="315"/>
      <c r="AE12" s="315"/>
      <c r="AF12" s="315"/>
      <c r="AG12" s="315"/>
      <c r="AH12" s="315"/>
      <c r="AI12" s="315"/>
      <c r="AJ12" s="315"/>
      <c r="AK12" s="315"/>
      <c r="AL12" s="315"/>
      <c r="AM12" s="315"/>
      <c r="AN12" s="315"/>
      <c r="AO12" s="315"/>
      <c r="AP12" s="315"/>
      <c r="AQ12" s="315"/>
      <c r="AR12" s="315"/>
      <c r="AS12" s="315"/>
      <c r="AT12" s="315"/>
      <c r="AU12" s="315"/>
      <c r="AV12" s="315"/>
      <c r="AW12" s="315"/>
      <c r="AX12" s="315"/>
      <c r="AY12" s="315"/>
      <c r="AZ12" s="315"/>
      <c r="BA12" s="315"/>
      <c r="BB12" s="315"/>
      <c r="BC12" s="315"/>
      <c r="BD12" s="315"/>
      <c r="BE12" s="315"/>
      <c r="BF12" s="315"/>
      <c r="BG12" s="315"/>
      <c r="BH12" s="315"/>
      <c r="BI12" s="315"/>
      <c r="BJ12" s="315"/>
      <c r="BK12" s="315"/>
      <c r="BL12" s="315"/>
      <c r="BM12" s="315"/>
      <c r="BN12" s="315"/>
      <c r="BO12" s="315"/>
      <c r="BP12" s="315"/>
      <c r="BQ12" s="315"/>
      <c r="BR12" s="315"/>
      <c r="BS12" s="315"/>
      <c r="BT12" s="315"/>
      <c r="BU12" s="315"/>
      <c r="BV12" s="315"/>
      <c r="BW12" s="315"/>
      <c r="BX12" s="315"/>
      <c r="BY12" s="315"/>
      <c r="BZ12" s="315"/>
      <c r="CA12" s="315"/>
      <c r="CB12" s="315"/>
      <c r="CC12" s="315"/>
      <c r="CD12" s="315"/>
      <c r="CE12" s="315"/>
      <c r="CF12" s="315"/>
      <c r="CG12" s="315"/>
      <c r="CH12" s="315"/>
      <c r="CI12" s="315"/>
      <c r="CJ12" s="315"/>
      <c r="CK12" s="315"/>
      <c r="CL12" s="315"/>
      <c r="CM12" s="315"/>
      <c r="CN12" s="315"/>
      <c r="CO12" s="315"/>
      <c r="CP12" s="315"/>
      <c r="CQ12" s="315"/>
      <c r="CR12" s="315"/>
      <c r="CS12" s="315"/>
      <c r="CT12" s="315"/>
    </row>
    <row r="13" spans="2:98" ht="14.4" customHeight="1" x14ac:dyDescent="0.3">
      <c r="B13" s="316"/>
      <c r="C13" s="316"/>
      <c r="D13" s="316"/>
      <c r="E13" s="316"/>
      <c r="F13" s="316"/>
      <c r="G13" s="321">
        <v>409982</v>
      </c>
      <c r="H13" s="322">
        <v>42707</v>
      </c>
      <c r="I13" s="307" t="s">
        <v>392</v>
      </c>
      <c r="J13" s="307"/>
      <c r="K13" s="307" t="s">
        <v>32</v>
      </c>
      <c r="L13" s="323"/>
      <c r="M13" s="323">
        <v>25</v>
      </c>
      <c r="N13" s="323">
        <f>IF(ISBLANK(CkReg16_18[[#This Row],[Withdrawal]]),N12+CkReg16_18[[#This Row],[Deposit]],N12-CkReg16_18[[#This Row],[Withdrawal]])</f>
        <v>4155.1380000000081</v>
      </c>
      <c r="O13" s="324">
        <v>42709</v>
      </c>
      <c r="P13" s="323">
        <f>IF(ISBLANK(CkReg16_18[[#This Row],[Withdrawal]]),P12+CkReg16_18[[#This Row],[Deposit]],P12-CkReg16_18[[#This Row],[Withdrawal]])</f>
        <v>13945.138000000008</v>
      </c>
      <c r="Q13" s="326"/>
      <c r="R13" s="315"/>
      <c r="S13" s="315"/>
      <c r="T13" s="315"/>
      <c r="U13" s="315"/>
      <c r="V13" s="315"/>
      <c r="W13" s="315"/>
      <c r="X13" s="315"/>
      <c r="Y13" s="315"/>
      <c r="Z13" s="315"/>
      <c r="AA13" s="315"/>
      <c r="AB13" s="315"/>
      <c r="AC13" s="315"/>
      <c r="AD13" s="315"/>
      <c r="AE13" s="315"/>
      <c r="AF13" s="315"/>
      <c r="AG13" s="315"/>
      <c r="AH13" s="315"/>
      <c r="AI13" s="315"/>
      <c r="AJ13" s="315"/>
      <c r="AK13" s="315"/>
      <c r="AL13" s="315"/>
      <c r="AM13" s="315"/>
      <c r="AN13" s="315"/>
      <c r="AO13" s="315"/>
      <c r="AP13" s="315"/>
      <c r="AQ13" s="315"/>
      <c r="AR13" s="315"/>
      <c r="AS13" s="315"/>
      <c r="AT13" s="315"/>
      <c r="AU13" s="315"/>
      <c r="AV13" s="315"/>
      <c r="AW13" s="315"/>
      <c r="AX13" s="315"/>
      <c r="AY13" s="315"/>
      <c r="AZ13" s="315"/>
      <c r="BA13" s="315"/>
      <c r="BB13" s="315"/>
      <c r="BC13" s="315"/>
      <c r="BD13" s="315"/>
      <c r="BE13" s="315"/>
      <c r="BF13" s="315"/>
      <c r="BG13" s="315"/>
      <c r="BH13" s="315"/>
      <c r="BI13" s="315"/>
      <c r="BJ13" s="315"/>
      <c r="BK13" s="315"/>
      <c r="BL13" s="315"/>
      <c r="BM13" s="315"/>
      <c r="BN13" s="315"/>
      <c r="BO13" s="315"/>
      <c r="BP13" s="315"/>
      <c r="BQ13" s="315"/>
      <c r="BR13" s="315"/>
      <c r="BS13" s="315"/>
      <c r="BT13" s="315"/>
      <c r="BU13" s="315"/>
      <c r="BV13" s="315"/>
      <c r="BW13" s="315"/>
      <c r="BX13" s="315"/>
      <c r="BY13" s="315"/>
      <c r="BZ13" s="315"/>
      <c r="CA13" s="315"/>
      <c r="CB13" s="315"/>
      <c r="CC13" s="315"/>
      <c r="CD13" s="315"/>
      <c r="CE13" s="315"/>
      <c r="CF13" s="315"/>
      <c r="CG13" s="315"/>
      <c r="CH13" s="315"/>
      <c r="CI13" s="315"/>
      <c r="CJ13" s="315"/>
      <c r="CK13" s="315"/>
      <c r="CL13" s="315"/>
      <c r="CM13" s="315"/>
      <c r="CN13" s="315"/>
      <c r="CO13" s="315"/>
      <c r="CP13" s="315"/>
      <c r="CQ13" s="315"/>
      <c r="CR13" s="315"/>
      <c r="CS13" s="315"/>
      <c r="CT13" s="315"/>
    </row>
    <row r="14" spans="2:98" ht="14.4" customHeight="1" x14ac:dyDescent="0.3">
      <c r="B14" s="327" t="s">
        <v>439</v>
      </c>
      <c r="C14" s="327"/>
      <c r="D14" s="327" t="s">
        <v>440</v>
      </c>
      <c r="E14" s="328">
        <f ca="1">NOW()</f>
        <v>44534.888377546296</v>
      </c>
      <c r="F14" s="316"/>
      <c r="G14" s="321">
        <v>409983</v>
      </c>
      <c r="H14" s="322">
        <v>42707</v>
      </c>
      <c r="I14" s="307" t="s">
        <v>394</v>
      </c>
      <c r="J14" s="307"/>
      <c r="K14" s="307" t="s">
        <v>32</v>
      </c>
      <c r="L14" s="323"/>
      <c r="M14" s="323">
        <v>20</v>
      </c>
      <c r="N14" s="323">
        <f>IF(ISBLANK(CkReg16_18[[#This Row],[Withdrawal]]),N13+CkReg16_18[[#This Row],[Deposit]],N13-CkReg16_18[[#This Row],[Withdrawal]])</f>
        <v>4175.1380000000081</v>
      </c>
      <c r="O14" s="324">
        <v>42709</v>
      </c>
      <c r="P14" s="323">
        <f>IF(ISBLANK(CkReg16_18[[#This Row],[Withdrawal]]),P13+CkReg16_18[[#This Row],[Deposit]],P13-CkReg16_18[[#This Row],[Withdrawal]])</f>
        <v>13965.138000000008</v>
      </c>
      <c r="Q14" s="326"/>
      <c r="R14" s="315"/>
      <c r="S14" s="315"/>
      <c r="T14" s="315"/>
      <c r="U14" s="315"/>
      <c r="V14" s="315"/>
      <c r="W14" s="315"/>
      <c r="X14" s="315"/>
      <c r="Y14" s="315"/>
      <c r="Z14" s="315"/>
      <c r="AA14" s="315"/>
      <c r="AB14" s="315"/>
      <c r="AC14" s="315"/>
      <c r="AD14" s="315"/>
      <c r="AE14" s="315"/>
      <c r="AF14" s="315"/>
      <c r="AG14" s="315"/>
      <c r="AH14" s="315"/>
      <c r="AI14" s="315"/>
      <c r="AJ14" s="315"/>
      <c r="AK14" s="315"/>
      <c r="AL14" s="315"/>
      <c r="AM14" s="315"/>
      <c r="AN14" s="315"/>
      <c r="AO14" s="315"/>
      <c r="AP14" s="315"/>
      <c r="AQ14" s="315"/>
      <c r="AR14" s="315"/>
      <c r="AS14" s="315"/>
      <c r="AT14" s="315"/>
      <c r="AU14" s="315"/>
      <c r="AV14" s="315"/>
      <c r="AW14" s="315"/>
      <c r="AX14" s="315"/>
      <c r="AY14" s="315"/>
      <c r="AZ14" s="315"/>
      <c r="BA14" s="315"/>
      <c r="BB14" s="315"/>
      <c r="BC14" s="315"/>
      <c r="BD14" s="315"/>
      <c r="BE14" s="315"/>
      <c r="BF14" s="315"/>
      <c r="BG14" s="315"/>
      <c r="BH14" s="315"/>
      <c r="BI14" s="315"/>
      <c r="BJ14" s="315"/>
      <c r="BK14" s="315"/>
      <c r="BL14" s="315"/>
      <c r="BM14" s="315"/>
      <c r="BN14" s="315"/>
      <c r="BO14" s="315"/>
      <c r="BP14" s="315"/>
      <c r="BQ14" s="315"/>
      <c r="BR14" s="315"/>
      <c r="BS14" s="315"/>
      <c r="BT14" s="315"/>
      <c r="BU14" s="315"/>
      <c r="BV14" s="315"/>
      <c r="BW14" s="315"/>
      <c r="BX14" s="315"/>
      <c r="BY14" s="315"/>
      <c r="BZ14" s="315"/>
      <c r="CA14" s="315"/>
      <c r="CB14" s="315"/>
      <c r="CC14" s="315"/>
      <c r="CD14" s="315"/>
      <c r="CE14" s="315"/>
      <c r="CF14" s="315"/>
      <c r="CG14" s="315"/>
      <c r="CH14" s="315"/>
      <c r="CI14" s="315"/>
      <c r="CJ14" s="315"/>
      <c r="CK14" s="315"/>
      <c r="CL14" s="315"/>
      <c r="CM14" s="315"/>
      <c r="CN14" s="315"/>
      <c r="CO14" s="315"/>
      <c r="CP14" s="315"/>
      <c r="CQ14" s="315"/>
      <c r="CR14" s="315"/>
      <c r="CS14" s="315"/>
      <c r="CT14" s="315"/>
    </row>
    <row r="15" spans="2:98" ht="14.4" customHeight="1" x14ac:dyDescent="0.3">
      <c r="B15" s="309"/>
      <c r="C15" s="309"/>
      <c r="D15" s="316"/>
      <c r="E15" s="329" t="s">
        <v>142</v>
      </c>
      <c r="F15" s="329"/>
      <c r="G15" s="321">
        <v>409984</v>
      </c>
      <c r="H15" s="322">
        <v>42707</v>
      </c>
      <c r="I15" s="307" t="s">
        <v>621</v>
      </c>
      <c r="J15" s="307"/>
      <c r="K15" s="307" t="s">
        <v>32</v>
      </c>
      <c r="L15" s="323"/>
      <c r="M15" s="323">
        <v>20</v>
      </c>
      <c r="N15" s="323">
        <f>IF(ISBLANK(CkReg16_18[[#This Row],[Withdrawal]]),N14+CkReg16_18[[#This Row],[Deposit]],N14-CkReg16_18[[#This Row],[Withdrawal]])</f>
        <v>4195.1380000000081</v>
      </c>
      <c r="O15" s="324">
        <v>42709</v>
      </c>
      <c r="P15" s="323">
        <f>IF(ISBLANK(CkReg16_18[[#This Row],[Withdrawal]]),P14+CkReg16_18[[#This Row],[Deposit]],P14-CkReg16_18[[#This Row],[Withdrawal]])</f>
        <v>13985.138000000008</v>
      </c>
      <c r="Q15" s="326"/>
      <c r="R15" s="315"/>
      <c r="S15" s="315"/>
      <c r="T15" s="315"/>
      <c r="U15" s="315"/>
      <c r="V15" s="315"/>
      <c r="W15" s="315"/>
      <c r="X15" s="315"/>
      <c r="Y15" s="315"/>
      <c r="Z15" s="315"/>
      <c r="AA15" s="315"/>
      <c r="AB15" s="315"/>
      <c r="AC15" s="315"/>
      <c r="AD15" s="315"/>
      <c r="AE15" s="315"/>
      <c r="AF15" s="315"/>
      <c r="AG15" s="315"/>
      <c r="AH15" s="315"/>
      <c r="AI15" s="315"/>
      <c r="AJ15" s="315"/>
      <c r="AK15" s="315"/>
      <c r="AL15" s="315"/>
      <c r="AM15" s="315"/>
      <c r="AN15" s="315"/>
      <c r="AO15" s="315"/>
      <c r="AP15" s="315"/>
      <c r="AQ15" s="315"/>
      <c r="AR15" s="315"/>
      <c r="AS15" s="315"/>
      <c r="AT15" s="315"/>
      <c r="AU15" s="315"/>
      <c r="AV15" s="315"/>
      <c r="AW15" s="315"/>
      <c r="AX15" s="315"/>
      <c r="AY15" s="315"/>
      <c r="AZ15" s="315"/>
      <c r="BA15" s="315"/>
      <c r="BB15" s="315"/>
      <c r="BC15" s="315"/>
      <c r="BD15" s="315"/>
      <c r="BE15" s="315"/>
      <c r="BF15" s="315"/>
      <c r="BG15" s="315"/>
      <c r="BH15" s="315"/>
      <c r="BI15" s="315"/>
      <c r="BJ15" s="315"/>
      <c r="BK15" s="315"/>
      <c r="BL15" s="315"/>
      <c r="BM15" s="315"/>
      <c r="BN15" s="315"/>
      <c r="BO15" s="315"/>
      <c r="BP15" s="315"/>
      <c r="BQ15" s="315"/>
      <c r="BR15" s="315"/>
      <c r="BS15" s="315"/>
      <c r="BT15" s="315"/>
      <c r="BU15" s="315"/>
      <c r="BV15" s="315"/>
      <c r="BW15" s="315"/>
      <c r="BX15" s="315"/>
      <c r="BY15" s="315"/>
      <c r="BZ15" s="315"/>
      <c r="CA15" s="315"/>
      <c r="CB15" s="315"/>
      <c r="CC15" s="315"/>
      <c r="CD15" s="315"/>
      <c r="CE15" s="315"/>
      <c r="CF15" s="315"/>
      <c r="CG15" s="315"/>
      <c r="CH15" s="315"/>
      <c r="CI15" s="315"/>
      <c r="CJ15" s="315"/>
      <c r="CK15" s="315"/>
      <c r="CL15" s="315"/>
      <c r="CM15" s="315"/>
      <c r="CN15" s="315"/>
      <c r="CO15" s="315"/>
      <c r="CP15" s="315"/>
      <c r="CQ15" s="315"/>
      <c r="CR15" s="315"/>
      <c r="CS15" s="315"/>
      <c r="CT15" s="315"/>
    </row>
    <row r="16" spans="2:98" ht="14.4" customHeight="1" x14ac:dyDescent="0.3">
      <c r="B16" s="316"/>
      <c r="C16" s="316"/>
      <c r="D16" s="316"/>
      <c r="E16" s="316"/>
      <c r="F16" s="316"/>
      <c r="G16" s="321">
        <v>409985</v>
      </c>
      <c r="H16" s="322">
        <v>42707</v>
      </c>
      <c r="I16" s="307" t="s">
        <v>423</v>
      </c>
      <c r="J16" s="307"/>
      <c r="K16" s="307" t="s">
        <v>32</v>
      </c>
      <c r="L16" s="323"/>
      <c r="M16" s="323">
        <v>25</v>
      </c>
      <c r="N16" s="323">
        <f>IF(ISBLANK(CkReg16_18[[#This Row],[Withdrawal]]),N15+CkReg16_18[[#This Row],[Deposit]],N15-CkReg16_18[[#This Row],[Withdrawal]])</f>
        <v>4220.1380000000081</v>
      </c>
      <c r="O16" s="324">
        <v>42709</v>
      </c>
      <c r="P16" s="323">
        <f>IF(ISBLANK(CkReg16_18[[#This Row],[Withdrawal]]),P15+CkReg16_18[[#This Row],[Deposit]],P15-CkReg16_18[[#This Row],[Withdrawal]])</f>
        <v>14010.138000000008</v>
      </c>
      <c r="Q16" s="326"/>
      <c r="R16" s="315"/>
      <c r="S16" s="315"/>
      <c r="T16" s="315"/>
      <c r="U16" s="315"/>
      <c r="V16" s="315"/>
      <c r="W16" s="315"/>
      <c r="X16" s="315"/>
      <c r="Y16" s="315"/>
      <c r="Z16" s="315"/>
      <c r="AA16" s="315"/>
      <c r="AB16" s="315"/>
      <c r="AC16" s="315"/>
      <c r="AD16" s="315"/>
      <c r="AE16" s="315"/>
      <c r="AF16" s="315"/>
      <c r="AG16" s="315"/>
      <c r="AH16" s="315"/>
      <c r="AI16" s="315"/>
      <c r="AJ16" s="315"/>
      <c r="AK16" s="315"/>
      <c r="AL16" s="315"/>
      <c r="AM16" s="315"/>
      <c r="AN16" s="315"/>
      <c r="AO16" s="315"/>
      <c r="AP16" s="315"/>
      <c r="AQ16" s="315"/>
      <c r="AR16" s="315"/>
      <c r="AS16" s="315"/>
      <c r="AT16" s="315"/>
      <c r="AU16" s="315"/>
      <c r="AV16" s="315"/>
      <c r="AW16" s="315"/>
      <c r="AX16" s="315"/>
      <c r="AY16" s="315"/>
      <c r="AZ16" s="315"/>
      <c r="BA16" s="315"/>
      <c r="BB16" s="315"/>
      <c r="BC16" s="315"/>
      <c r="BD16" s="315"/>
      <c r="BE16" s="315"/>
      <c r="BF16" s="315"/>
      <c r="BG16" s="315"/>
      <c r="BH16" s="315"/>
      <c r="BI16" s="315"/>
      <c r="BJ16" s="315"/>
      <c r="BK16" s="315"/>
      <c r="BL16" s="315"/>
      <c r="BM16" s="315"/>
      <c r="BN16" s="315"/>
      <c r="BO16" s="315"/>
      <c r="BP16" s="315"/>
      <c r="BQ16" s="315"/>
      <c r="BR16" s="315"/>
      <c r="BS16" s="315"/>
      <c r="BT16" s="315"/>
      <c r="BU16" s="315"/>
      <c r="BV16" s="315"/>
      <c r="BW16" s="315"/>
      <c r="BX16" s="315"/>
      <c r="BY16" s="315"/>
      <c r="BZ16" s="315"/>
      <c r="CA16" s="315"/>
      <c r="CB16" s="315"/>
      <c r="CC16" s="315"/>
      <c r="CD16" s="315"/>
      <c r="CE16" s="315"/>
      <c r="CF16" s="315"/>
      <c r="CG16" s="315"/>
      <c r="CH16" s="315"/>
      <c r="CI16" s="315"/>
      <c r="CJ16" s="315"/>
      <c r="CK16" s="315"/>
      <c r="CL16" s="315"/>
      <c r="CM16" s="315"/>
      <c r="CN16" s="315"/>
      <c r="CO16" s="315"/>
      <c r="CP16" s="315"/>
      <c r="CQ16" s="315"/>
      <c r="CR16" s="315"/>
      <c r="CS16" s="315"/>
      <c r="CT16" s="315"/>
    </row>
    <row r="17" spans="2:98" x14ac:dyDescent="0.3">
      <c r="B17" s="330" t="s">
        <v>4</v>
      </c>
      <c r="C17" s="330" t="s">
        <v>438</v>
      </c>
      <c r="D17" s="330" t="s">
        <v>75</v>
      </c>
      <c r="E17" s="330" t="s">
        <v>462</v>
      </c>
      <c r="G17" s="321">
        <v>409978</v>
      </c>
      <c r="H17" s="322">
        <v>42647</v>
      </c>
      <c r="I17" s="307" t="s">
        <v>622</v>
      </c>
      <c r="J17" s="307" t="s">
        <v>623</v>
      </c>
      <c r="K17" s="307" t="s">
        <v>44</v>
      </c>
      <c r="L17" s="323">
        <v>-130.68</v>
      </c>
      <c r="M17" s="323" t="s">
        <v>142</v>
      </c>
      <c r="N17" s="323">
        <f>IF(ISBLANK(CkReg16_18[[#This Row],[Withdrawal]]),N16+CkReg16_18[[#This Row],[Deposit]],N16-CkReg16_18[[#This Row],[Withdrawal]])</f>
        <v>4350.8180000000084</v>
      </c>
      <c r="O17" s="324">
        <v>42709</v>
      </c>
      <c r="P17" s="323">
        <f>IF(ISBLANK(CkReg16_18[[#This Row],[Withdrawal]]),P16+CkReg16_18[[#This Row],[Deposit]],P16-CkReg16_18[[#This Row],[Withdrawal]])</f>
        <v>14140.818000000008</v>
      </c>
      <c r="Q17" s="326"/>
      <c r="R17" s="315"/>
      <c r="S17" s="315"/>
      <c r="T17" s="315"/>
      <c r="U17" s="315"/>
      <c r="V17" s="315"/>
      <c r="W17" s="315"/>
      <c r="X17" s="315"/>
      <c r="Y17" s="315"/>
      <c r="Z17" s="315"/>
      <c r="AA17" s="315"/>
      <c r="AB17" s="315"/>
      <c r="AC17" s="315"/>
      <c r="AD17" s="315"/>
      <c r="AE17" s="315"/>
      <c r="AF17" s="315"/>
      <c r="AG17" s="315"/>
      <c r="AH17" s="315"/>
      <c r="AI17" s="315"/>
      <c r="AJ17" s="315"/>
      <c r="AK17" s="315"/>
      <c r="AL17" s="315"/>
      <c r="AM17" s="315"/>
      <c r="AN17" s="315"/>
      <c r="AO17" s="315"/>
      <c r="AP17" s="315"/>
      <c r="AQ17" s="315"/>
      <c r="AR17" s="315"/>
      <c r="AS17" s="315"/>
      <c r="AT17" s="315"/>
      <c r="AU17" s="315"/>
      <c r="AV17" s="315"/>
      <c r="AW17" s="315"/>
      <c r="AX17" s="315"/>
      <c r="AY17" s="315"/>
      <c r="AZ17" s="315"/>
      <c r="BA17" s="315"/>
      <c r="BB17" s="315"/>
      <c r="BC17" s="315"/>
      <c r="BD17" s="315"/>
      <c r="BE17" s="315"/>
      <c r="BF17" s="315"/>
      <c r="BG17" s="315"/>
      <c r="BH17" s="315"/>
      <c r="BI17" s="315"/>
      <c r="BJ17" s="315"/>
      <c r="BK17" s="315"/>
      <c r="BL17" s="315"/>
      <c r="BM17" s="315"/>
      <c r="BN17" s="315"/>
      <c r="BO17" s="315"/>
      <c r="BP17" s="315"/>
      <c r="BQ17" s="315"/>
      <c r="BR17" s="315"/>
      <c r="BS17" s="315"/>
      <c r="BT17" s="315"/>
      <c r="BU17" s="315"/>
      <c r="BV17" s="315"/>
      <c r="BW17" s="315"/>
      <c r="BX17" s="315"/>
      <c r="BY17" s="315"/>
      <c r="BZ17" s="315"/>
      <c r="CA17" s="315"/>
      <c r="CB17" s="315"/>
      <c r="CC17" s="315"/>
      <c r="CD17" s="315"/>
      <c r="CE17" s="315"/>
      <c r="CF17" s="315"/>
      <c r="CG17" s="315"/>
      <c r="CH17" s="315"/>
      <c r="CI17" s="315"/>
      <c r="CJ17" s="315"/>
      <c r="CK17" s="315"/>
      <c r="CL17" s="315"/>
      <c r="CM17" s="315"/>
      <c r="CN17" s="315"/>
      <c r="CO17" s="315"/>
      <c r="CP17" s="315"/>
      <c r="CQ17" s="315"/>
      <c r="CR17" s="315"/>
      <c r="CS17" s="315"/>
      <c r="CT17" s="315"/>
    </row>
    <row r="18" spans="2:98" x14ac:dyDescent="0.3">
      <c r="B18" s="331" t="s">
        <v>5</v>
      </c>
      <c r="C18" s="332">
        <v>12033.208000000015</v>
      </c>
      <c r="D18" s="332">
        <v>14000</v>
      </c>
      <c r="E18" s="332">
        <f>-CategoryTable8121014[[#This Row],[Budget]]+CategoryTable8121014[[#This Row],[Actual to date]]</f>
        <v>-1966.7919999999849</v>
      </c>
      <c r="G18" s="321" t="s">
        <v>624</v>
      </c>
      <c r="H18" s="322">
        <v>42347</v>
      </c>
      <c r="I18" s="307" t="s">
        <v>602</v>
      </c>
      <c r="J18" s="307" t="s">
        <v>603</v>
      </c>
      <c r="K18" s="307" t="s">
        <v>53</v>
      </c>
      <c r="L18" s="323">
        <v>64.540000000000006</v>
      </c>
      <c r="M18" s="323"/>
      <c r="N18" s="323">
        <f>IF(ISBLANK(CkReg16_18[[#This Row],[Withdrawal]]),N17+CkReg16_18[[#This Row],[Deposit]],N17-CkReg16_18[[#This Row],[Withdrawal]])</f>
        <v>4286.2780000000084</v>
      </c>
      <c r="O18" s="324">
        <v>42713</v>
      </c>
      <c r="P18" s="323">
        <f>IF(ISBLANK(CkReg16_18[[#This Row],[Withdrawal]]),P17+CkReg16_18[[#This Row],[Deposit]],P17-CkReg16_18[[#This Row],[Withdrawal]])</f>
        <v>14076.278000000008</v>
      </c>
      <c r="Q18" s="326"/>
      <c r="R18" s="315"/>
      <c r="S18" s="315"/>
      <c r="T18" s="315"/>
      <c r="U18" s="315"/>
      <c r="V18" s="315"/>
      <c r="W18" s="315"/>
      <c r="X18" s="315"/>
      <c r="Y18" s="315"/>
      <c r="Z18" s="315"/>
      <c r="AA18" s="315"/>
      <c r="AB18" s="315"/>
      <c r="AC18" s="315"/>
      <c r="AD18" s="315"/>
      <c r="AE18" s="315"/>
      <c r="AF18" s="315"/>
      <c r="AG18" s="315"/>
      <c r="AH18" s="315"/>
      <c r="AI18" s="315"/>
      <c r="AJ18" s="315"/>
      <c r="AK18" s="315"/>
      <c r="AL18" s="315"/>
      <c r="AM18" s="315"/>
      <c r="AN18" s="315"/>
      <c r="AO18" s="315"/>
      <c r="AP18" s="315"/>
      <c r="AQ18" s="315"/>
      <c r="AR18" s="315"/>
      <c r="AS18" s="315"/>
      <c r="AT18" s="315"/>
      <c r="AU18" s="315"/>
      <c r="AV18" s="315"/>
      <c r="AW18" s="315"/>
      <c r="AX18" s="315"/>
      <c r="AY18" s="315"/>
      <c r="AZ18" s="315"/>
      <c r="BA18" s="315"/>
      <c r="BB18" s="315"/>
      <c r="BC18" s="315"/>
      <c r="BD18" s="315"/>
      <c r="BE18" s="315"/>
      <c r="BF18" s="315"/>
      <c r="BG18" s="315"/>
      <c r="BH18" s="315"/>
      <c r="BI18" s="315"/>
      <c r="BJ18" s="315"/>
      <c r="BK18" s="315"/>
      <c r="BL18" s="315"/>
      <c r="BM18" s="315"/>
      <c r="BN18" s="315"/>
      <c r="BO18" s="315"/>
      <c r="BP18" s="315"/>
      <c r="BQ18" s="315"/>
      <c r="BR18" s="315"/>
      <c r="BS18" s="315"/>
      <c r="BT18" s="315"/>
      <c r="BU18" s="315"/>
      <c r="BV18" s="315"/>
      <c r="BW18" s="315"/>
      <c r="BX18" s="315"/>
      <c r="BY18" s="315"/>
      <c r="BZ18" s="315"/>
      <c r="CA18" s="315"/>
      <c r="CB18" s="315"/>
      <c r="CC18" s="315"/>
      <c r="CD18" s="315"/>
      <c r="CE18" s="315"/>
      <c r="CF18" s="315"/>
      <c r="CG18" s="315"/>
      <c r="CH18" s="315"/>
      <c r="CI18" s="315"/>
      <c r="CJ18" s="315"/>
      <c r="CK18" s="315"/>
      <c r="CL18" s="315"/>
      <c r="CM18" s="315"/>
      <c r="CN18" s="315"/>
      <c r="CO18" s="315"/>
      <c r="CP18" s="315"/>
      <c r="CQ18" s="315"/>
      <c r="CR18" s="315"/>
      <c r="CS18" s="315"/>
      <c r="CT18" s="315"/>
    </row>
    <row r="19" spans="2:98" x14ac:dyDescent="0.3">
      <c r="B19" s="331" t="s">
        <v>32</v>
      </c>
      <c r="C19" s="332">
        <f>SUMIF(CkReg16_18[Category],"=" &amp;CategoryTable8121014[[#This Row],[Category]],CkReg16_18[Deposit])</f>
        <v>1375</v>
      </c>
      <c r="D19" s="332">
        <v>800</v>
      </c>
      <c r="E19" s="332">
        <f>-CategoryTable8121014[[#This Row],[Budget]]+CategoryTable8121014[[#This Row],[Actual to date]]</f>
        <v>575</v>
      </c>
      <c r="F19" s="330"/>
      <c r="G19" s="321" t="s">
        <v>566</v>
      </c>
      <c r="H19" s="322">
        <v>42735</v>
      </c>
      <c r="I19" s="307" t="s">
        <v>714</v>
      </c>
      <c r="J19" s="307" t="s">
        <v>567</v>
      </c>
      <c r="K19" s="307" t="s">
        <v>34</v>
      </c>
      <c r="L19" s="323">
        <v>75</v>
      </c>
      <c r="M19" s="323"/>
      <c r="N19" s="323">
        <f>IF(ISBLANK(CkReg16_18[[#This Row],[Withdrawal]]),N18+CkReg16_18[[#This Row],[Deposit]],N18-CkReg16_18[[#This Row],[Withdrawal]])</f>
        <v>4211.2780000000084</v>
      </c>
      <c r="O19" s="324">
        <v>42738</v>
      </c>
      <c r="P19" s="323">
        <f>IF(ISBLANK(CkReg16_18[[#This Row],[Withdrawal]]),P18+CkReg16_18[[#This Row],[Deposit]],P18-CkReg16_18[[#This Row],[Withdrawal]])</f>
        <v>14001.278000000008</v>
      </c>
      <c r="Q19" s="326"/>
      <c r="R19" s="315"/>
      <c r="S19" s="315"/>
      <c r="T19" s="315"/>
      <c r="U19" s="315"/>
      <c r="V19" s="315"/>
      <c r="W19" s="315"/>
      <c r="X19" s="315"/>
      <c r="Y19" s="315"/>
      <c r="Z19" s="315"/>
      <c r="AA19" s="315"/>
      <c r="AB19" s="315"/>
      <c r="AC19" s="315"/>
      <c r="AD19" s="315"/>
      <c r="AE19" s="315"/>
      <c r="AF19" s="315"/>
      <c r="AG19" s="315"/>
      <c r="AH19" s="315"/>
      <c r="AI19" s="315"/>
      <c r="AJ19" s="315"/>
      <c r="AK19" s="315"/>
      <c r="AL19" s="315"/>
      <c r="AM19" s="315"/>
      <c r="AN19" s="315"/>
      <c r="AO19" s="315"/>
      <c r="AP19" s="315"/>
      <c r="AQ19" s="315"/>
      <c r="AR19" s="315"/>
      <c r="AS19" s="315"/>
      <c r="AT19" s="315"/>
      <c r="AU19" s="315"/>
      <c r="AV19" s="315"/>
      <c r="AW19" s="315"/>
      <c r="AX19" s="315"/>
      <c r="AY19" s="315"/>
      <c r="AZ19" s="315"/>
      <c r="BA19" s="315"/>
      <c r="BB19" s="315"/>
      <c r="BC19" s="315"/>
      <c r="BD19" s="315"/>
      <c r="BE19" s="315"/>
      <c r="BF19" s="315"/>
      <c r="BG19" s="315"/>
      <c r="BH19" s="315"/>
      <c r="BI19" s="315"/>
      <c r="BJ19" s="315"/>
      <c r="BK19" s="315"/>
      <c r="BL19" s="315"/>
      <c r="BM19" s="315"/>
      <c r="BN19" s="315"/>
      <c r="BO19" s="315"/>
      <c r="BP19" s="315"/>
      <c r="BQ19" s="315"/>
      <c r="BR19" s="315"/>
      <c r="BS19" s="315"/>
      <c r="BT19" s="315"/>
      <c r="BU19" s="315"/>
      <c r="BV19" s="315"/>
      <c r="BW19" s="315"/>
      <c r="BX19" s="315"/>
      <c r="BY19" s="315"/>
      <c r="BZ19" s="315"/>
      <c r="CA19" s="315"/>
      <c r="CB19" s="315"/>
      <c r="CC19" s="315"/>
      <c r="CD19" s="315"/>
      <c r="CE19" s="315"/>
      <c r="CF19" s="315"/>
      <c r="CG19" s="315"/>
      <c r="CH19" s="315"/>
      <c r="CI19" s="315"/>
      <c r="CJ19" s="315"/>
      <c r="CK19" s="315"/>
      <c r="CL19" s="315"/>
      <c r="CM19" s="315"/>
      <c r="CN19" s="315"/>
      <c r="CO19" s="315"/>
      <c r="CP19" s="315"/>
      <c r="CQ19" s="315"/>
      <c r="CR19" s="315"/>
      <c r="CS19" s="315"/>
      <c r="CT19" s="315"/>
    </row>
    <row r="20" spans="2:98" x14ac:dyDescent="0.3">
      <c r="B20" s="331" t="s">
        <v>572</v>
      </c>
      <c r="C20" s="332">
        <f>-(SUMIF(CkReg16_18[Category],"=" &amp;CategoryTable8121014[[#This Row],[Category]],CkReg16_18[Withdrawal]))</f>
        <v>-639.79</v>
      </c>
      <c r="D20" s="332">
        <v>0</v>
      </c>
      <c r="E20" s="332">
        <f>-CategoryTable8121014[[#This Row],[Budget]]+CategoryTable8121014[[#This Row],[Actual to date]]</f>
        <v>-639.79</v>
      </c>
      <c r="F20" s="332"/>
      <c r="G20" s="321" t="s">
        <v>568</v>
      </c>
      <c r="H20" s="322">
        <v>42735</v>
      </c>
      <c r="I20" s="307" t="s">
        <v>715</v>
      </c>
      <c r="J20" s="307" t="s">
        <v>595</v>
      </c>
      <c r="K20" s="307" t="s">
        <v>34</v>
      </c>
      <c r="L20" s="323">
        <v>50</v>
      </c>
      <c r="M20" s="323"/>
      <c r="N20" s="323">
        <f>IF(ISBLANK(CkReg16_18[[#This Row],[Withdrawal]]),N19+CkReg16_18[[#This Row],[Deposit]],N19-CkReg16_18[[#This Row],[Withdrawal]])</f>
        <v>4161.2780000000084</v>
      </c>
      <c r="O20" s="324">
        <v>42739</v>
      </c>
      <c r="P20" s="323">
        <f>IF(ISBLANK(CkReg16_18[[#This Row],[Withdrawal]]),P19+CkReg16_18[[#This Row],[Deposit]],P19-CkReg16_18[[#This Row],[Withdrawal]])</f>
        <v>13951.278000000008</v>
      </c>
      <c r="Q20" s="326"/>
      <c r="R20" s="315"/>
      <c r="S20" s="315"/>
      <c r="T20" s="315"/>
      <c r="U20" s="315"/>
      <c r="V20" s="315"/>
      <c r="W20" s="315"/>
      <c r="X20" s="315"/>
      <c r="Y20" s="315"/>
      <c r="Z20" s="315"/>
      <c r="AA20" s="315"/>
      <c r="AB20" s="315"/>
      <c r="AC20" s="315"/>
      <c r="AD20" s="315"/>
      <c r="AE20" s="315"/>
      <c r="AF20" s="315"/>
      <c r="AG20" s="315"/>
      <c r="AH20" s="315"/>
      <c r="AI20" s="315"/>
      <c r="AJ20" s="315"/>
      <c r="AK20" s="315"/>
      <c r="AL20" s="315"/>
      <c r="AM20" s="315"/>
      <c r="AN20" s="315"/>
      <c r="AO20" s="315"/>
      <c r="AP20" s="315"/>
      <c r="AQ20" s="315"/>
      <c r="AR20" s="315"/>
      <c r="AS20" s="315"/>
      <c r="AT20" s="315"/>
      <c r="AU20" s="315"/>
      <c r="AV20" s="315"/>
      <c r="AW20" s="315"/>
      <c r="AX20" s="315"/>
      <c r="AY20" s="315"/>
      <c r="AZ20" s="315"/>
      <c r="BA20" s="315"/>
      <c r="BB20" s="315"/>
      <c r="BC20" s="315"/>
      <c r="BD20" s="315"/>
      <c r="BE20" s="315"/>
      <c r="BF20" s="315"/>
      <c r="BG20" s="315"/>
      <c r="BH20" s="315"/>
      <c r="BI20" s="315"/>
      <c r="BJ20" s="315"/>
      <c r="BK20" s="315"/>
      <c r="BL20" s="315"/>
      <c r="BM20" s="315"/>
      <c r="BN20" s="315"/>
      <c r="BO20" s="315"/>
      <c r="BP20" s="315"/>
      <c r="BQ20" s="315"/>
      <c r="BR20" s="315"/>
      <c r="BS20" s="315"/>
      <c r="BT20" s="315"/>
      <c r="BU20" s="315"/>
      <c r="BV20" s="315"/>
      <c r="BW20" s="315"/>
      <c r="BX20" s="315"/>
      <c r="BY20" s="315"/>
      <c r="BZ20" s="315"/>
      <c r="CA20" s="315"/>
      <c r="CB20" s="315"/>
      <c r="CC20" s="315"/>
      <c r="CD20" s="315"/>
      <c r="CE20" s="315"/>
      <c r="CF20" s="315"/>
      <c r="CG20" s="315"/>
      <c r="CH20" s="315"/>
      <c r="CI20" s="315"/>
      <c r="CJ20" s="315"/>
      <c r="CK20" s="315"/>
      <c r="CL20" s="315"/>
      <c r="CM20" s="315"/>
      <c r="CN20" s="315"/>
      <c r="CO20" s="315"/>
      <c r="CP20" s="315"/>
      <c r="CQ20" s="315"/>
      <c r="CR20" s="315"/>
      <c r="CS20" s="315"/>
      <c r="CT20" s="315"/>
    </row>
    <row r="21" spans="2:98" x14ac:dyDescent="0.3">
      <c r="B21" s="331" t="s">
        <v>571</v>
      </c>
      <c r="C21" s="332">
        <f>SUMIF(CkReg16_18[Category],"=" &amp;CategoryTable8121014[[#This Row],[Category]],CkReg16_18[Deposit])</f>
        <v>639.62</v>
      </c>
      <c r="D21" s="332">
        <v>0</v>
      </c>
      <c r="E21" s="332">
        <f>-CategoryTable8121014[[#This Row],[Budget]]+CategoryTable8121014[[#This Row],[Actual to date]]</f>
        <v>639.62</v>
      </c>
      <c r="F21" s="332"/>
      <c r="G21" s="321"/>
      <c r="H21" s="322">
        <v>42735</v>
      </c>
      <c r="I21" s="307" t="s">
        <v>434</v>
      </c>
      <c r="J21" s="307" t="s">
        <v>261</v>
      </c>
      <c r="K21" s="307" t="s">
        <v>91</v>
      </c>
      <c r="L21" s="323"/>
      <c r="M21" s="323">
        <v>0.59</v>
      </c>
      <c r="N21" s="323">
        <f>IF(ISBLANK(CkReg16_18[[#This Row],[Withdrawal]]),N20+CkReg16_18[[#This Row],[Deposit]],N20-CkReg16_18[[#This Row],[Withdrawal]])</f>
        <v>4161.8680000000086</v>
      </c>
      <c r="O21" s="324">
        <v>42735</v>
      </c>
      <c r="P21" s="323">
        <f>IF(ISBLANK(CkReg16_18[[#This Row],[Withdrawal]]),P20+CkReg16_18[[#This Row],[Deposit]],P20-CkReg16_18[[#This Row],[Withdrawal]])</f>
        <v>13951.868000000008</v>
      </c>
      <c r="Q21" s="326">
        <v>42735</v>
      </c>
      <c r="R21" s="315"/>
      <c r="S21" s="315"/>
      <c r="T21" s="315"/>
      <c r="U21" s="315"/>
      <c r="V21" s="315"/>
      <c r="W21" s="315"/>
      <c r="X21" s="315"/>
      <c r="Y21" s="315"/>
      <c r="Z21" s="315"/>
      <c r="AA21" s="315"/>
      <c r="AB21" s="315"/>
      <c r="AC21" s="315"/>
      <c r="AD21" s="315"/>
      <c r="AE21" s="315"/>
      <c r="AF21" s="315"/>
      <c r="AG21" s="315"/>
      <c r="AH21" s="315"/>
      <c r="AI21" s="315"/>
      <c r="AJ21" s="315"/>
      <c r="AK21" s="315"/>
      <c r="AL21" s="315"/>
      <c r="AM21" s="315"/>
      <c r="AN21" s="315"/>
      <c r="AO21" s="315"/>
      <c r="AP21" s="315"/>
      <c r="AQ21" s="315"/>
      <c r="AR21" s="315"/>
      <c r="AS21" s="315"/>
      <c r="AT21" s="315"/>
      <c r="AU21" s="315"/>
      <c r="AV21" s="315"/>
      <c r="AW21" s="315"/>
      <c r="AX21" s="315"/>
      <c r="AY21" s="315"/>
      <c r="AZ21" s="315"/>
      <c r="BA21" s="315"/>
      <c r="BB21" s="315"/>
      <c r="BC21" s="315"/>
      <c r="BD21" s="315"/>
      <c r="BE21" s="315"/>
      <c r="BF21" s="315"/>
      <c r="BG21" s="315"/>
      <c r="BH21" s="315"/>
      <c r="BI21" s="315"/>
      <c r="BJ21" s="315"/>
      <c r="BK21" s="315"/>
      <c r="BL21" s="315"/>
      <c r="BM21" s="315"/>
      <c r="BN21" s="315"/>
      <c r="BO21" s="315"/>
      <c r="BP21" s="315"/>
      <c r="BQ21" s="315"/>
      <c r="BR21" s="315"/>
      <c r="BS21" s="315"/>
      <c r="BT21" s="315"/>
      <c r="BU21" s="315"/>
      <c r="BV21" s="315"/>
      <c r="BW21" s="315"/>
      <c r="BX21" s="315"/>
      <c r="BY21" s="315"/>
      <c r="BZ21" s="315"/>
      <c r="CA21" s="315"/>
      <c r="CB21" s="315"/>
      <c r="CC21" s="315"/>
      <c r="CD21" s="315"/>
      <c r="CE21" s="315"/>
      <c r="CF21" s="315"/>
      <c r="CG21" s="315"/>
      <c r="CH21" s="315"/>
      <c r="CI21" s="315"/>
      <c r="CJ21" s="315"/>
      <c r="CK21" s="315"/>
      <c r="CL21" s="315"/>
      <c r="CM21" s="315"/>
      <c r="CN21" s="315"/>
      <c r="CO21" s="315"/>
      <c r="CP21" s="315"/>
      <c r="CQ21" s="315"/>
      <c r="CR21" s="315"/>
      <c r="CS21" s="315"/>
      <c r="CT21" s="315"/>
    </row>
    <row r="22" spans="2:98" x14ac:dyDescent="0.3">
      <c r="B22" s="331" t="s">
        <v>33</v>
      </c>
      <c r="C22" s="332">
        <f>SUMIF(CkReg16_18[Category],"=" &amp;CategoryTable8121014[[#This Row],[Category]],CkReg16_18[Deposit])</f>
        <v>851.78</v>
      </c>
      <c r="D22" s="332">
        <v>1000</v>
      </c>
      <c r="E22" s="332">
        <f>-CategoryTable8121014[[#This Row],[Budget]]+CategoryTable8121014[[#This Row],[Actual to date]]</f>
        <v>-148.22000000000003</v>
      </c>
      <c r="F22" s="332"/>
      <c r="G22" s="321">
        <v>409986</v>
      </c>
      <c r="H22" s="322">
        <v>42738</v>
      </c>
      <c r="I22" s="307" t="s">
        <v>718</v>
      </c>
      <c r="J22" s="307" t="s">
        <v>596</v>
      </c>
      <c r="K22" s="307" t="s">
        <v>33</v>
      </c>
      <c r="L22" s="323"/>
      <c r="M22" s="323">
        <v>101</v>
      </c>
      <c r="N22" s="323">
        <f>IF(ISBLANK(CkReg16_18[[#This Row],[Withdrawal]]),N21+CkReg16_18[[#This Row],[Deposit]],N21-CkReg16_18[[#This Row],[Withdrawal]])</f>
        <v>4262.8680000000086</v>
      </c>
      <c r="O22" s="324">
        <v>42738</v>
      </c>
      <c r="P22" s="323">
        <f>IF(ISBLANK(CkReg16_18[[#This Row],[Withdrawal]]),P21+CkReg16_18[[#This Row],[Deposit]],P21-CkReg16_18[[#This Row],[Withdrawal]])</f>
        <v>14052.868000000008</v>
      </c>
      <c r="Q22" s="326"/>
      <c r="R22" s="315"/>
      <c r="S22" s="315"/>
      <c r="T22" s="315"/>
      <c r="U22" s="315"/>
      <c r="V22" s="315"/>
      <c r="W22" s="315"/>
      <c r="X22" s="315"/>
      <c r="Y22" s="315"/>
      <c r="Z22" s="315"/>
      <c r="AA22" s="315"/>
      <c r="AB22" s="315"/>
      <c r="AC22" s="315"/>
      <c r="AD22" s="315"/>
      <c r="AE22" s="315"/>
      <c r="AF22" s="315"/>
      <c r="AG22" s="315"/>
      <c r="AH22" s="315"/>
      <c r="AI22" s="315"/>
      <c r="AJ22" s="315"/>
      <c r="AK22" s="315"/>
      <c r="AL22" s="315"/>
      <c r="AM22" s="315"/>
      <c r="AN22" s="315"/>
      <c r="AO22" s="315"/>
      <c r="AP22" s="315"/>
      <c r="AQ22" s="315"/>
      <c r="AR22" s="315"/>
      <c r="AS22" s="315"/>
      <c r="AT22" s="315"/>
      <c r="AU22" s="315"/>
      <c r="AV22" s="315"/>
      <c r="AW22" s="315"/>
      <c r="AX22" s="315"/>
      <c r="AY22" s="315"/>
      <c r="AZ22" s="315"/>
      <c r="BA22" s="315"/>
      <c r="BB22" s="315"/>
      <c r="BC22" s="315"/>
      <c r="BD22" s="315"/>
      <c r="BE22" s="315"/>
      <c r="BF22" s="315"/>
      <c r="BG22" s="315"/>
      <c r="BH22" s="315"/>
      <c r="BI22" s="315"/>
      <c r="BJ22" s="315"/>
      <c r="BK22" s="315"/>
      <c r="BL22" s="315"/>
      <c r="BM22" s="315"/>
      <c r="BN22" s="315"/>
      <c r="BO22" s="315"/>
      <c r="BP22" s="315"/>
      <c r="BQ22" s="315"/>
      <c r="BR22" s="315"/>
      <c r="BS22" s="315"/>
      <c r="BT22" s="315"/>
      <c r="BU22" s="315"/>
      <c r="BV22" s="315"/>
      <c r="BW22" s="315"/>
      <c r="BX22" s="315"/>
      <c r="BY22" s="315"/>
      <c r="BZ22" s="315"/>
      <c r="CA22" s="315"/>
      <c r="CB22" s="315"/>
      <c r="CC22" s="315"/>
      <c r="CD22" s="315"/>
      <c r="CE22" s="315"/>
      <c r="CF22" s="315"/>
      <c r="CG22" s="315"/>
      <c r="CH22" s="315"/>
      <c r="CI22" s="315"/>
      <c r="CJ22" s="315"/>
      <c r="CK22" s="315"/>
      <c r="CL22" s="315"/>
      <c r="CM22" s="315"/>
      <c r="CN22" s="315"/>
      <c r="CO22" s="315"/>
      <c r="CP22" s="315"/>
      <c r="CQ22" s="315"/>
      <c r="CR22" s="315"/>
      <c r="CS22" s="315"/>
      <c r="CT22" s="315"/>
    </row>
    <row r="23" spans="2:98" x14ac:dyDescent="0.3">
      <c r="B23" s="331" t="s">
        <v>34</v>
      </c>
      <c r="C23" s="332">
        <f>-(SUMIF(CkReg16_18[Category],"=" &amp;CategoryTable8121014[[#This Row],[Category]],CkReg16_18[Withdrawal]))</f>
        <v>-1582.63</v>
      </c>
      <c r="D23" s="332">
        <v>-1500</v>
      </c>
      <c r="E23" s="332">
        <f>-CategoryTable8121014[[#This Row],[Budget]]+CategoryTable8121014[[#This Row],[Actual to date]]</f>
        <v>-82.630000000000109</v>
      </c>
      <c r="F23" s="332"/>
      <c r="G23" s="321">
        <v>409987</v>
      </c>
      <c r="H23" s="322">
        <v>42738</v>
      </c>
      <c r="I23" s="307" t="s">
        <v>718</v>
      </c>
      <c r="J23" s="307" t="s">
        <v>597</v>
      </c>
      <c r="K23" s="307" t="s">
        <v>33</v>
      </c>
      <c r="L23" s="323"/>
      <c r="M23" s="323">
        <v>68.5</v>
      </c>
      <c r="N23" s="323">
        <f>IF(ISBLANK(CkReg16_18[[#This Row],[Withdrawal]]),N22+CkReg16_18[[#This Row],[Deposit]],N22-CkReg16_18[[#This Row],[Withdrawal]])</f>
        <v>4331.3680000000086</v>
      </c>
      <c r="O23" s="324">
        <v>42738</v>
      </c>
      <c r="P23" s="323">
        <f>IF(ISBLANK(CkReg16_18[[#This Row],[Withdrawal]]),P22+CkReg16_18[[#This Row],[Deposit]],P22-CkReg16_18[[#This Row],[Withdrawal]])</f>
        <v>14121.368000000008</v>
      </c>
      <c r="Q23" s="326"/>
      <c r="R23" s="315"/>
      <c r="S23" s="315"/>
      <c r="T23" s="315"/>
      <c r="U23" s="315"/>
      <c r="V23" s="315"/>
      <c r="W23" s="315"/>
      <c r="X23" s="315"/>
      <c r="Y23" s="315"/>
      <c r="Z23" s="315"/>
      <c r="AA23" s="315"/>
      <c r="AB23" s="315"/>
      <c r="AC23" s="315"/>
      <c r="AD23" s="315"/>
      <c r="AE23" s="315"/>
      <c r="AF23" s="315"/>
      <c r="AG23" s="315"/>
      <c r="AH23" s="315"/>
      <c r="AI23" s="315"/>
      <c r="AJ23" s="315"/>
      <c r="AK23" s="315"/>
      <c r="AL23" s="315"/>
      <c r="AM23" s="315"/>
      <c r="AN23" s="315"/>
      <c r="AO23" s="315"/>
      <c r="AP23" s="315"/>
      <c r="AQ23" s="315"/>
      <c r="AR23" s="315"/>
      <c r="AS23" s="315"/>
      <c r="AT23" s="315"/>
      <c r="AU23" s="315"/>
      <c r="AV23" s="315"/>
      <c r="AW23" s="315"/>
      <c r="AX23" s="315"/>
      <c r="AY23" s="315"/>
      <c r="AZ23" s="315"/>
      <c r="BA23" s="315"/>
      <c r="BB23" s="315"/>
      <c r="BC23" s="315"/>
      <c r="BD23" s="315"/>
      <c r="BE23" s="315"/>
      <c r="BF23" s="315"/>
      <c r="BG23" s="315"/>
      <c r="BH23" s="315"/>
      <c r="BI23" s="315"/>
      <c r="BJ23" s="315"/>
      <c r="BK23" s="315"/>
      <c r="BL23" s="315"/>
      <c r="BM23" s="315"/>
      <c r="BN23" s="315"/>
      <c r="BO23" s="315"/>
      <c r="BP23" s="315"/>
      <c r="BQ23" s="315"/>
      <c r="BR23" s="315"/>
      <c r="BS23" s="315"/>
      <c r="BT23" s="315"/>
      <c r="BU23" s="315"/>
      <c r="BV23" s="315"/>
      <c r="BW23" s="315"/>
      <c r="BX23" s="315"/>
      <c r="BY23" s="315"/>
      <c r="BZ23" s="315"/>
      <c r="CA23" s="315"/>
      <c r="CB23" s="315"/>
      <c r="CC23" s="315"/>
      <c r="CD23" s="315"/>
      <c r="CE23" s="315"/>
      <c r="CF23" s="315"/>
      <c r="CG23" s="315"/>
      <c r="CH23" s="315"/>
      <c r="CI23" s="315"/>
      <c r="CJ23" s="315"/>
      <c r="CK23" s="315"/>
      <c r="CL23" s="315"/>
      <c r="CM23" s="315"/>
      <c r="CN23" s="315"/>
      <c r="CO23" s="315"/>
      <c r="CP23" s="315"/>
      <c r="CQ23" s="315"/>
      <c r="CR23" s="315"/>
      <c r="CS23" s="315"/>
      <c r="CT23" s="315"/>
    </row>
    <row r="24" spans="2:98" x14ac:dyDescent="0.3">
      <c r="B24" s="331" t="s">
        <v>37</v>
      </c>
      <c r="C24" s="332">
        <f>-(SUMIF(CkReg16_18[Category],"=" &amp;CategoryTable8121014[[#This Row],[Category]],CkReg16_18[Withdrawal]))</f>
        <v>0</v>
      </c>
      <c r="D24" s="332">
        <v>-50</v>
      </c>
      <c r="E24" s="332">
        <f>-CategoryTable8121014[[#This Row],[Budget]]+CategoryTable8121014[[#This Row],[Actual to date]]</f>
        <v>50</v>
      </c>
      <c r="F24" s="332"/>
      <c r="G24" s="321" t="s">
        <v>569</v>
      </c>
      <c r="H24" s="322">
        <v>42764</v>
      </c>
      <c r="I24" s="307" t="s">
        <v>79</v>
      </c>
      <c r="J24" s="307" t="s">
        <v>410</v>
      </c>
      <c r="K24" s="307" t="s">
        <v>572</v>
      </c>
      <c r="L24" s="323">
        <v>118.88</v>
      </c>
      <c r="M24" s="323"/>
      <c r="N24" s="323">
        <f>IF(ISBLANK(CkReg16_18[[#This Row],[Withdrawal]]),N23+CkReg16_18[[#This Row],[Deposit]],N23-CkReg16_18[[#This Row],[Withdrawal]])</f>
        <v>4212.4880000000085</v>
      </c>
      <c r="O24" s="324">
        <v>42768</v>
      </c>
      <c r="P24" s="323">
        <f>IF(ISBLANK(CkReg16_18[[#This Row],[Withdrawal]]),P23+CkReg16_18[[#This Row],[Deposit]],P23-CkReg16_18[[#This Row],[Withdrawal]])</f>
        <v>14002.488000000008</v>
      </c>
      <c r="Q24" s="326"/>
      <c r="R24" s="315"/>
      <c r="S24" s="315"/>
      <c r="T24" s="315"/>
      <c r="U24" s="315"/>
      <c r="V24" s="315"/>
      <c r="W24" s="315"/>
      <c r="X24" s="315"/>
      <c r="Y24" s="315"/>
      <c r="Z24" s="315"/>
      <c r="AA24" s="315"/>
      <c r="AB24" s="315"/>
      <c r="AC24" s="315"/>
      <c r="AD24" s="315"/>
      <c r="AE24" s="315"/>
      <c r="AF24" s="315"/>
      <c r="AG24" s="315"/>
      <c r="AH24" s="315"/>
      <c r="AI24" s="315"/>
      <c r="AJ24" s="315"/>
      <c r="AK24" s="315"/>
      <c r="AL24" s="315"/>
      <c r="AM24" s="315"/>
      <c r="AN24" s="315"/>
      <c r="AO24" s="315"/>
      <c r="AP24" s="315"/>
      <c r="AQ24" s="315"/>
      <c r="AR24" s="315"/>
      <c r="AS24" s="315"/>
      <c r="AT24" s="315"/>
      <c r="AU24" s="315"/>
      <c r="AV24" s="315"/>
      <c r="AW24" s="315"/>
      <c r="AX24" s="315"/>
      <c r="AY24" s="315"/>
      <c r="AZ24" s="315"/>
      <c r="BA24" s="315"/>
      <c r="BB24" s="315"/>
      <c r="BC24" s="315"/>
      <c r="BD24" s="315"/>
      <c r="BE24" s="315"/>
      <c r="BF24" s="315"/>
      <c r="BG24" s="315"/>
      <c r="BH24" s="315"/>
      <c r="BI24" s="315"/>
      <c r="BJ24" s="315"/>
      <c r="BK24" s="315"/>
      <c r="BL24" s="315"/>
      <c r="BM24" s="315"/>
      <c r="BN24" s="315"/>
      <c r="BO24" s="315"/>
      <c r="BP24" s="315"/>
      <c r="BQ24" s="315"/>
      <c r="BR24" s="315"/>
      <c r="BS24" s="315"/>
      <c r="BT24" s="315"/>
      <c r="BU24" s="315"/>
      <c r="BV24" s="315"/>
      <c r="BW24" s="315"/>
      <c r="BX24" s="315"/>
      <c r="BY24" s="315"/>
      <c r="BZ24" s="315"/>
      <c r="CA24" s="315"/>
      <c r="CB24" s="315"/>
      <c r="CC24" s="315"/>
      <c r="CD24" s="315"/>
      <c r="CE24" s="315"/>
      <c r="CF24" s="315"/>
      <c r="CG24" s="315"/>
      <c r="CH24" s="315"/>
      <c r="CI24" s="315"/>
      <c r="CJ24" s="315"/>
      <c r="CK24" s="315"/>
      <c r="CL24" s="315"/>
      <c r="CM24" s="315"/>
      <c r="CN24" s="315"/>
      <c r="CO24" s="315"/>
      <c r="CP24" s="315"/>
      <c r="CQ24" s="315"/>
      <c r="CR24" s="315"/>
      <c r="CS24" s="315"/>
      <c r="CT24" s="315"/>
    </row>
    <row r="25" spans="2:98" x14ac:dyDescent="0.3">
      <c r="B25" s="331" t="s">
        <v>39</v>
      </c>
      <c r="C25" s="332">
        <f>-(SUMIF(CkReg16_18[Category],"=" &amp;CategoryTable8121014[[#This Row],[Category]],CkReg16_18[Withdrawal]))</f>
        <v>-393.58</v>
      </c>
      <c r="D25" s="332">
        <v>-350</v>
      </c>
      <c r="E25" s="332">
        <f>-CategoryTable8121014[[#This Row],[Budget]]+CategoryTable8121014[[#This Row],[Actual to date]]</f>
        <v>-43.579999999999984</v>
      </c>
      <c r="F25" s="332"/>
      <c r="G25" s="321" t="s">
        <v>569</v>
      </c>
      <c r="H25" s="322">
        <v>42764</v>
      </c>
      <c r="I25" s="307" t="s">
        <v>79</v>
      </c>
      <c r="J25" s="307" t="s">
        <v>410</v>
      </c>
      <c r="K25" s="307" t="s">
        <v>390</v>
      </c>
      <c r="L25" s="323">
        <v>216.6</v>
      </c>
      <c r="M25" s="323"/>
      <c r="N25" s="323">
        <f>IF(ISBLANK(CkReg16_18[[#This Row],[Withdrawal]]),N24+CkReg16_18[[#This Row],[Deposit]],N24-CkReg16_18[[#This Row],[Withdrawal]])</f>
        <v>3995.8880000000086</v>
      </c>
      <c r="O25" s="324">
        <v>42768</v>
      </c>
      <c r="P25" s="323">
        <f>IF(ISBLANK(CkReg16_18[[#This Row],[Withdrawal]]),P24+CkReg16_18[[#This Row],[Deposit]],P24-CkReg16_18[[#This Row],[Withdrawal]])</f>
        <v>13785.888000000008</v>
      </c>
      <c r="Q25" s="326"/>
      <c r="R25" s="315"/>
      <c r="S25" s="315"/>
      <c r="T25" s="315"/>
      <c r="U25" s="315"/>
      <c r="V25" s="315"/>
      <c r="W25" s="315"/>
      <c r="X25" s="315"/>
      <c r="Y25" s="315"/>
      <c r="Z25" s="315"/>
      <c r="AA25" s="315"/>
      <c r="AB25" s="315"/>
      <c r="AC25" s="315"/>
      <c r="AD25" s="315"/>
      <c r="AE25" s="315"/>
      <c r="AF25" s="315"/>
      <c r="AG25" s="315"/>
      <c r="AH25" s="315"/>
      <c r="AI25" s="315"/>
      <c r="AJ25" s="315"/>
      <c r="AK25" s="315"/>
      <c r="AL25" s="315"/>
      <c r="AM25" s="315"/>
      <c r="AN25" s="315"/>
      <c r="AO25" s="315"/>
      <c r="AP25" s="315"/>
      <c r="AQ25" s="315"/>
      <c r="AR25" s="315"/>
      <c r="AS25" s="315"/>
      <c r="AT25" s="315"/>
      <c r="AU25" s="315"/>
      <c r="AV25" s="315"/>
      <c r="AW25" s="315"/>
      <c r="AX25" s="315"/>
      <c r="AY25" s="315"/>
      <c r="AZ25" s="315"/>
      <c r="BA25" s="315"/>
      <c r="BB25" s="315"/>
      <c r="BC25" s="315"/>
      <c r="BD25" s="315"/>
      <c r="BE25" s="315"/>
      <c r="BF25" s="315"/>
      <c r="BG25" s="315"/>
      <c r="BH25" s="315"/>
      <c r="BI25" s="315"/>
      <c r="BJ25" s="315"/>
      <c r="BK25" s="315"/>
      <c r="BL25" s="315"/>
      <c r="BM25" s="315"/>
      <c r="BN25" s="315"/>
      <c r="BO25" s="315"/>
      <c r="BP25" s="315"/>
      <c r="BQ25" s="315"/>
      <c r="BR25" s="315"/>
      <c r="BS25" s="315"/>
      <c r="BT25" s="315"/>
      <c r="BU25" s="315"/>
      <c r="BV25" s="315"/>
      <c r="BW25" s="315"/>
      <c r="BX25" s="315"/>
      <c r="BY25" s="315"/>
      <c r="BZ25" s="315"/>
      <c r="CA25" s="315"/>
      <c r="CB25" s="315"/>
      <c r="CC25" s="315"/>
      <c r="CD25" s="315"/>
      <c r="CE25" s="315"/>
      <c r="CF25" s="315"/>
      <c r="CG25" s="315"/>
      <c r="CH25" s="315"/>
      <c r="CI25" s="315"/>
      <c r="CJ25" s="315"/>
      <c r="CK25" s="315"/>
      <c r="CL25" s="315"/>
      <c r="CM25" s="315"/>
      <c r="CN25" s="315"/>
      <c r="CO25" s="315"/>
      <c r="CP25" s="315"/>
      <c r="CQ25" s="315"/>
      <c r="CR25" s="315"/>
      <c r="CS25" s="315"/>
      <c r="CT25" s="315"/>
    </row>
    <row r="26" spans="2:98" x14ac:dyDescent="0.3">
      <c r="B26" s="331" t="s">
        <v>40</v>
      </c>
      <c r="C26" s="332">
        <f>-(SUMIF(CkReg16_18[Category],"=" &amp;CategoryTable8121014[[#This Row],[Category]],CkReg16_18[Withdrawal]))</f>
        <v>0</v>
      </c>
      <c r="D26" s="332">
        <v>-150</v>
      </c>
      <c r="E26" s="332">
        <f>-CategoryTable8121014[[#This Row],[Budget]]+CategoryTable8121014[[#This Row],[Actual to date]]</f>
        <v>150</v>
      </c>
      <c r="F26" s="332"/>
      <c r="G26" s="321" t="s">
        <v>569</v>
      </c>
      <c r="H26" s="322">
        <v>42764</v>
      </c>
      <c r="I26" s="307" t="s">
        <v>79</v>
      </c>
      <c r="J26" s="307" t="s">
        <v>410</v>
      </c>
      <c r="K26" s="307" t="s">
        <v>49</v>
      </c>
      <c r="L26" s="323">
        <v>7.87</v>
      </c>
      <c r="M26" s="323"/>
      <c r="N26" s="323">
        <f>IF(ISBLANK(CkReg16_18[[#This Row],[Withdrawal]]),N25+CkReg16_18[[#This Row],[Deposit]],N25-CkReg16_18[[#This Row],[Withdrawal]])</f>
        <v>3988.0180000000087</v>
      </c>
      <c r="O26" s="324">
        <v>42768</v>
      </c>
      <c r="P26" s="323">
        <f>IF(ISBLANK(CkReg16_18[[#This Row],[Withdrawal]]),P25+CkReg16_18[[#This Row],[Deposit]],P25-CkReg16_18[[#This Row],[Withdrawal]])</f>
        <v>13778.018000000007</v>
      </c>
      <c r="Q26" s="326"/>
      <c r="R26" s="315"/>
      <c r="S26" s="315"/>
      <c r="T26" s="315"/>
      <c r="U26" s="315"/>
      <c r="V26" s="315"/>
      <c r="W26" s="315"/>
      <c r="X26" s="315"/>
      <c r="Y26" s="315"/>
      <c r="Z26" s="315"/>
      <c r="AA26" s="315"/>
      <c r="AB26" s="315"/>
      <c r="AC26" s="315"/>
      <c r="AD26" s="315"/>
      <c r="AE26" s="315"/>
      <c r="AF26" s="315"/>
      <c r="AG26" s="315"/>
      <c r="AH26" s="315"/>
      <c r="AI26" s="315"/>
      <c r="AJ26" s="315"/>
      <c r="AK26" s="315"/>
      <c r="AL26" s="315"/>
      <c r="AM26" s="315"/>
      <c r="AN26" s="315"/>
      <c r="AO26" s="315"/>
      <c r="AP26" s="315"/>
      <c r="AQ26" s="315"/>
      <c r="AR26" s="315"/>
      <c r="AS26" s="315"/>
      <c r="AT26" s="315"/>
      <c r="AU26" s="315"/>
      <c r="AV26" s="315"/>
      <c r="AW26" s="315"/>
      <c r="AX26" s="315"/>
      <c r="AY26" s="315"/>
      <c r="AZ26" s="315"/>
      <c r="BA26" s="315"/>
      <c r="BB26" s="315"/>
      <c r="BC26" s="315"/>
      <c r="BD26" s="315"/>
      <c r="BE26" s="315"/>
      <c r="BF26" s="315"/>
      <c r="BG26" s="315"/>
      <c r="BH26" s="315"/>
      <c r="BI26" s="315"/>
      <c r="BJ26" s="315"/>
      <c r="BK26" s="315"/>
      <c r="BL26" s="315"/>
      <c r="BM26" s="315"/>
      <c r="BN26" s="315"/>
      <c r="BO26" s="315"/>
      <c r="BP26" s="315"/>
      <c r="BQ26" s="315"/>
      <c r="BR26" s="315"/>
      <c r="BS26" s="315"/>
      <c r="BT26" s="315"/>
      <c r="BU26" s="315"/>
      <c r="BV26" s="315"/>
      <c r="BW26" s="315"/>
      <c r="BX26" s="315"/>
      <c r="BY26" s="315"/>
      <c r="BZ26" s="315"/>
      <c r="CA26" s="315"/>
      <c r="CB26" s="315"/>
      <c r="CC26" s="315"/>
      <c r="CD26" s="315"/>
      <c r="CE26" s="315"/>
      <c r="CF26" s="315"/>
      <c r="CG26" s="315"/>
      <c r="CH26" s="315"/>
      <c r="CI26" s="315"/>
      <c r="CJ26" s="315"/>
      <c r="CK26" s="315"/>
      <c r="CL26" s="315"/>
      <c r="CM26" s="315"/>
      <c r="CN26" s="315"/>
      <c r="CO26" s="315"/>
      <c r="CP26" s="315"/>
      <c r="CQ26" s="315"/>
      <c r="CR26" s="315"/>
      <c r="CS26" s="315"/>
      <c r="CT26" s="315"/>
    </row>
    <row r="27" spans="2:98" s="330" customFormat="1" x14ac:dyDescent="0.3">
      <c r="B27" s="331" t="s">
        <v>91</v>
      </c>
      <c r="C27" s="332">
        <f>-(SUMIF(CkReg16_18[Category],"=" &amp;CategoryTable8121014[[#This Row],[Category]],CkReg16_18[Withdrawal]))</f>
        <v>0</v>
      </c>
      <c r="D27" s="332">
        <v>0</v>
      </c>
      <c r="E27" s="332">
        <f>-CategoryTable8121014[[#This Row],[Budget]]+CategoryTable8121014[[#This Row],[Actual to date]]</f>
        <v>0</v>
      </c>
      <c r="F27" s="332"/>
      <c r="G27" s="321" t="s">
        <v>569</v>
      </c>
      <c r="H27" s="322">
        <v>42764</v>
      </c>
      <c r="I27" s="307" t="s">
        <v>79</v>
      </c>
      <c r="J27" s="307" t="s">
        <v>410</v>
      </c>
      <c r="K27" s="307" t="s">
        <v>36</v>
      </c>
      <c r="L27" s="323">
        <v>163.44999999999999</v>
      </c>
      <c r="M27" s="323"/>
      <c r="N27" s="323">
        <f>IF(ISBLANK(CkReg16_18[[#This Row],[Withdrawal]]),N26+CkReg16_18[[#This Row],[Deposit]],N26-CkReg16_18[[#This Row],[Withdrawal]])</f>
        <v>3824.5680000000089</v>
      </c>
      <c r="O27" s="324">
        <v>42768</v>
      </c>
      <c r="P27" s="323">
        <f>IF(ISBLANK(CkReg16_18[[#This Row],[Withdrawal]]),P26+CkReg16_18[[#This Row],[Deposit]],P26-CkReg16_18[[#This Row],[Withdrawal]])</f>
        <v>13614.568000000007</v>
      </c>
      <c r="Q27" s="326"/>
    </row>
    <row r="28" spans="2:98" s="330" customFormat="1" x14ac:dyDescent="0.3">
      <c r="B28" s="331" t="s">
        <v>43</v>
      </c>
      <c r="C28" s="332">
        <f>-(SUMIF(CkReg16_18[Category],"=" &amp;CategoryTable8121014[[#This Row],[Category]],CkReg16_18[Withdrawal]))</f>
        <v>-375</v>
      </c>
      <c r="D28" s="332">
        <v>-450</v>
      </c>
      <c r="E28" s="332">
        <f>-CategoryTable8121014[[#This Row],[Budget]]+CategoryTable8121014[[#This Row],[Actual to date]]</f>
        <v>75</v>
      </c>
      <c r="F28" s="332"/>
      <c r="G28" s="321" t="s">
        <v>569</v>
      </c>
      <c r="H28" s="322">
        <v>42764</v>
      </c>
      <c r="I28" s="307" t="s">
        <v>79</v>
      </c>
      <c r="J28" s="307" t="s">
        <v>410</v>
      </c>
      <c r="K28" s="307" t="s">
        <v>573</v>
      </c>
      <c r="L28" s="323">
        <v>109.64</v>
      </c>
      <c r="M28" s="323"/>
      <c r="N28" s="323">
        <f>IF(ISBLANK(CkReg16_18[[#This Row],[Withdrawal]]),N27+CkReg16_18[[#This Row],[Deposit]],N27-CkReg16_18[[#This Row],[Withdrawal]])</f>
        <v>3714.928000000009</v>
      </c>
      <c r="O28" s="324">
        <v>42768</v>
      </c>
      <c r="P28" s="323">
        <f>IF(ISBLANK(CkReg16_18[[#This Row],[Withdrawal]]),P27+CkReg16_18[[#This Row],[Deposit]],P27-CkReg16_18[[#This Row],[Withdrawal]])</f>
        <v>13504.928000000007</v>
      </c>
      <c r="Q28" s="326"/>
    </row>
    <row r="29" spans="2:98" s="330" customFormat="1" x14ac:dyDescent="0.3">
      <c r="B29" s="331" t="s">
        <v>44</v>
      </c>
      <c r="C29" s="332">
        <f>-(SUMIF(CkReg16_18[Category],"=" &amp;CategoryTable8121014[[#This Row],[Category]],CkReg16_18[Withdrawal]))</f>
        <v>250.86</v>
      </c>
      <c r="D29" s="332">
        <v>-300</v>
      </c>
      <c r="E29" s="332">
        <f>-CategoryTable8121014[[#This Row],[Budget]]+CategoryTable8121014[[#This Row],[Actual to date]]</f>
        <v>550.86</v>
      </c>
      <c r="F29" s="332"/>
      <c r="G29" s="321" t="s">
        <v>569</v>
      </c>
      <c r="H29" s="322">
        <v>42764</v>
      </c>
      <c r="I29" s="307" t="s">
        <v>79</v>
      </c>
      <c r="J29" s="307" t="s">
        <v>410</v>
      </c>
      <c r="K29" s="307" t="s">
        <v>574</v>
      </c>
      <c r="L29" s="323">
        <v>109.64</v>
      </c>
      <c r="M29" s="323"/>
      <c r="N29" s="323">
        <f>IF(ISBLANK(CkReg16_18[[#This Row],[Withdrawal]]),N28+CkReg16_18[[#This Row],[Deposit]],N28-CkReg16_18[[#This Row],[Withdrawal]])</f>
        <v>3605.2880000000091</v>
      </c>
      <c r="O29" s="324">
        <v>42768</v>
      </c>
      <c r="P29" s="323">
        <f>IF(ISBLANK(CkReg16_18[[#This Row],[Withdrawal]]),P28+CkReg16_18[[#This Row],[Deposit]],P28-CkReg16_18[[#This Row],[Withdrawal]])</f>
        <v>13395.288000000008</v>
      </c>
      <c r="Q29" s="326"/>
    </row>
    <row r="30" spans="2:98" s="330" customFormat="1" x14ac:dyDescent="0.3">
      <c r="B30" s="331" t="s">
        <v>45</v>
      </c>
      <c r="C30" s="332">
        <f>-(SUMIF(CkReg16_18[Category],"=" &amp;CategoryTable8121014[[#This Row],[Category]],CkReg16_18[Withdrawal]))</f>
        <v>-76</v>
      </c>
      <c r="D30" s="332">
        <v>-85</v>
      </c>
      <c r="E30" s="332">
        <f>-CategoryTable8121014[[#This Row],[Budget]]+CategoryTable8121014[[#This Row],[Actual to date]]</f>
        <v>9</v>
      </c>
      <c r="F30" s="332"/>
      <c r="G30" s="321">
        <v>409989</v>
      </c>
      <c r="H30" s="322">
        <v>42765</v>
      </c>
      <c r="I30" s="307" t="s">
        <v>591</v>
      </c>
      <c r="J30" s="307" t="s">
        <v>592</v>
      </c>
      <c r="K30" s="307" t="s">
        <v>590</v>
      </c>
      <c r="L30" s="323"/>
      <c r="M30" s="323">
        <v>70.739999999999995</v>
      </c>
      <c r="N30" s="323">
        <f>IF(ISBLANK(CkReg16_18[[#This Row],[Withdrawal]]),N29+CkReg16_18[[#This Row],[Deposit]],N29-CkReg16_18[[#This Row],[Withdrawal]])</f>
        <v>3676.0280000000089</v>
      </c>
      <c r="O30" s="324">
        <v>42765</v>
      </c>
      <c r="P30" s="323">
        <f>IF(ISBLANK(CkReg16_18[[#This Row],[Withdrawal]]),P29+CkReg16_18[[#This Row],[Deposit]],P29-CkReg16_18[[#This Row],[Withdrawal]])</f>
        <v>13466.028000000008</v>
      </c>
      <c r="Q30" s="326"/>
    </row>
    <row r="31" spans="2:98" s="330" customFormat="1" x14ac:dyDescent="0.3">
      <c r="B31" s="331" t="s">
        <v>46</v>
      </c>
      <c r="C31" s="332">
        <f>-(SUMIF(CkReg16_18[Category],"=" &amp;CategoryTable8121014[[#This Row],[Category]],CkReg16_18[Withdrawal]))</f>
        <v>-913</v>
      </c>
      <c r="D31" s="332">
        <v>-900</v>
      </c>
      <c r="E31" s="332">
        <f>-CategoryTable8121014[[#This Row],[Budget]]+CategoryTable8121014[[#This Row],[Actual to date]]</f>
        <v>-13</v>
      </c>
      <c r="F31" s="332"/>
      <c r="G31" s="321"/>
      <c r="H31" s="322">
        <v>42766</v>
      </c>
      <c r="I31" s="307" t="s">
        <v>434</v>
      </c>
      <c r="J31" s="307" t="s">
        <v>261</v>
      </c>
      <c r="K31" s="307" t="s">
        <v>91</v>
      </c>
      <c r="L31" s="323"/>
      <c r="M31" s="323">
        <v>0.59</v>
      </c>
      <c r="N31" s="323">
        <f>IF(ISBLANK(CkReg16_18[[#This Row],[Withdrawal]]),N30+CkReg16_18[[#This Row],[Deposit]],N30-CkReg16_18[[#This Row],[Withdrawal]])</f>
        <v>3676.618000000009</v>
      </c>
      <c r="O31" s="324">
        <v>42766</v>
      </c>
      <c r="P31" s="323">
        <f>IF(ISBLANK(CkReg16_18[[#This Row],[Withdrawal]]),P30+CkReg16_18[[#This Row],[Deposit]],P30-CkReg16_18[[#This Row],[Withdrawal]])</f>
        <v>13466.618000000008</v>
      </c>
      <c r="Q31" s="326">
        <v>42766</v>
      </c>
    </row>
    <row r="32" spans="2:98" s="330" customFormat="1" x14ac:dyDescent="0.3">
      <c r="B32" s="331" t="s">
        <v>47</v>
      </c>
      <c r="C32" s="332">
        <f>-(SUMIF(CkReg16_18[Category],"=" &amp;CategoryTable8121014[[#This Row],[Category]],CkReg16_18[Withdrawal]))</f>
        <v>-16.619999999999997</v>
      </c>
      <c r="D32" s="332">
        <v>-50</v>
      </c>
      <c r="E32" s="332">
        <f>-CategoryTable8121014[[#This Row],[Budget]]+CategoryTable8121014[[#This Row],[Actual to date]]</f>
        <v>33.380000000000003</v>
      </c>
      <c r="F32" s="332"/>
      <c r="G32" s="321">
        <v>409988</v>
      </c>
      <c r="H32" s="322">
        <v>42772</v>
      </c>
      <c r="I32" s="307" t="s">
        <v>593</v>
      </c>
      <c r="J32" s="307" t="s">
        <v>598</v>
      </c>
      <c r="K32" s="307" t="s">
        <v>34</v>
      </c>
      <c r="L32" s="323">
        <f>3+12+61.08+79.64</f>
        <v>155.72</v>
      </c>
      <c r="M32" s="323"/>
      <c r="N32" s="323">
        <f>IF(ISBLANK(CkReg16_18[[#This Row],[Withdrawal]]),N31+CkReg16_18[[#This Row],[Deposit]],N31-CkReg16_18[[#This Row],[Withdrawal]])</f>
        <v>3520.8980000000092</v>
      </c>
      <c r="O32" s="324">
        <v>42776</v>
      </c>
      <c r="P32" s="323">
        <f>IF(ISBLANK(CkReg16_18[[#This Row],[Withdrawal]]),P31+CkReg16_18[[#This Row],[Deposit]],P31-CkReg16_18[[#This Row],[Withdrawal]])</f>
        <v>13310.898000000008</v>
      </c>
      <c r="Q32" s="326"/>
    </row>
    <row r="33" spans="2:17" s="330" customFormat="1" x14ac:dyDescent="0.3">
      <c r="B33" s="331" t="s">
        <v>49</v>
      </c>
      <c r="C33" s="332">
        <f>-(SUMIF(CkReg16_18[Category],"=" &amp;CategoryTable8121014[[#This Row],[Category]],CkReg16_18[Withdrawal]))</f>
        <v>-7.87</v>
      </c>
      <c r="D33" s="332">
        <v>-50</v>
      </c>
      <c r="E33" s="332">
        <f>-CategoryTable8121014[[#This Row],[Budget]]+CategoryTable8121014[[#This Row],[Actual to date]]</f>
        <v>42.13</v>
      </c>
      <c r="F33" s="332"/>
      <c r="G33" s="321">
        <v>409988</v>
      </c>
      <c r="H33" s="322">
        <v>42772</v>
      </c>
      <c r="I33" s="307" t="s">
        <v>593</v>
      </c>
      <c r="J33" s="307" t="s">
        <v>599</v>
      </c>
      <c r="K33" s="307" t="s">
        <v>33</v>
      </c>
      <c r="L33" s="323"/>
      <c r="M33" s="323">
        <v>41.23</v>
      </c>
      <c r="N33" s="323">
        <f>IF(ISBLANK(CkReg16_18[[#This Row],[Withdrawal]]),N32+CkReg16_18[[#This Row],[Deposit]],N32-CkReg16_18[[#This Row],[Withdrawal]])</f>
        <v>3562.1280000000093</v>
      </c>
      <c r="O33" s="324">
        <v>42776</v>
      </c>
      <c r="P33" s="323">
        <f>IF(ISBLANK(CkReg16_18[[#This Row],[Withdrawal]]),P32+CkReg16_18[[#This Row],[Deposit]],P32-CkReg16_18[[#This Row],[Withdrawal]])</f>
        <v>13352.128000000008</v>
      </c>
      <c r="Q33" s="326"/>
    </row>
    <row r="34" spans="2:17" s="330" customFormat="1" x14ac:dyDescent="0.3">
      <c r="B34" s="331" t="s">
        <v>50</v>
      </c>
      <c r="C34" s="332">
        <f>-(SUMIF(CkReg16_18[Category],"=" &amp;CategoryTable8121014[[#This Row],[Category]],CkReg16_18[Withdrawal]))</f>
        <v>0</v>
      </c>
      <c r="D34" s="332">
        <v>-25</v>
      </c>
      <c r="E34" s="332">
        <f>-CategoryTable8121014[[#This Row],[Budget]]+CategoryTable8121014[[#This Row],[Actual to date]]</f>
        <v>25</v>
      </c>
      <c r="F34" s="332"/>
      <c r="G34" s="321">
        <v>409988</v>
      </c>
      <c r="H34" s="322">
        <v>42772</v>
      </c>
      <c r="I34" s="307" t="s">
        <v>594</v>
      </c>
      <c r="J34" s="307" t="s">
        <v>410</v>
      </c>
      <c r="K34" s="307" t="s">
        <v>571</v>
      </c>
      <c r="L34" s="323"/>
      <c r="M34" s="323">
        <v>118.88</v>
      </c>
      <c r="N34" s="323">
        <f>IF(ISBLANK(CkReg16_18[[#This Row],[Withdrawal]]),N33+CkReg16_18[[#This Row],[Deposit]],N33-CkReg16_18[[#This Row],[Withdrawal]])</f>
        <v>3681.0080000000094</v>
      </c>
      <c r="O34" s="324">
        <v>42776</v>
      </c>
      <c r="P34" s="323">
        <f>IF(ISBLANK(CkReg16_18[[#This Row],[Withdrawal]]),P33+CkReg16_18[[#This Row],[Deposit]],P33-CkReg16_18[[#This Row],[Withdrawal]])</f>
        <v>13471.008000000007</v>
      </c>
      <c r="Q34" s="326"/>
    </row>
    <row r="35" spans="2:17" s="330" customFormat="1" x14ac:dyDescent="0.3">
      <c r="B35" s="331" t="s">
        <v>51</v>
      </c>
      <c r="C35" s="332">
        <f>-(SUMIF(CkReg16_18[Category],"=" &amp;CategoryTable8121014[[#This Row],[Category]],CkReg16_18[Withdrawal]))</f>
        <v>-323.26</v>
      </c>
      <c r="D35" s="332">
        <v>-450</v>
      </c>
      <c r="E35" s="332">
        <f>-CategoryTable8121014[[#This Row],[Budget]]+CategoryTable8121014[[#This Row],[Actual to date]]</f>
        <v>126.74000000000001</v>
      </c>
      <c r="F35" s="332"/>
      <c r="G35" s="321">
        <v>3106</v>
      </c>
      <c r="H35" s="322">
        <v>42770</v>
      </c>
      <c r="I35" s="307" t="s">
        <v>92</v>
      </c>
      <c r="J35" s="307" t="s">
        <v>627</v>
      </c>
      <c r="K35" s="307" t="s">
        <v>43</v>
      </c>
      <c r="L35" s="323">
        <v>75</v>
      </c>
      <c r="M35" s="323"/>
      <c r="N35" s="323">
        <f>IF(ISBLANK(CkReg16_18[[#This Row],[Withdrawal]]),N34+CkReg16_18[[#This Row],[Deposit]],N34-CkReg16_18[[#This Row],[Withdrawal]])</f>
        <v>3606.0080000000094</v>
      </c>
      <c r="O35" s="324">
        <v>42780</v>
      </c>
      <c r="P35" s="323">
        <f>IF(ISBLANK(CkReg16_18[[#This Row],[Withdrawal]]),P34+CkReg16_18[[#This Row],[Deposit]],P34-CkReg16_18[[#This Row],[Withdrawal]])</f>
        <v>13396.008000000007</v>
      </c>
      <c r="Q35" s="326"/>
    </row>
    <row r="36" spans="2:17" s="330" customFormat="1" x14ac:dyDescent="0.3">
      <c r="B36" s="331" t="s">
        <v>52</v>
      </c>
      <c r="C36" s="332">
        <f>-(SUMIF(CkReg16_18[Category],"=" &amp;CategoryTable8121014[[#This Row],[Category]],CkReg16_18[Withdrawal]))</f>
        <v>-84.05</v>
      </c>
      <c r="D36" s="332">
        <v>-100</v>
      </c>
      <c r="E36" s="332">
        <f>-CategoryTable8121014[[#This Row],[Budget]]+CategoryTable8121014[[#This Row],[Actual to date]]</f>
        <v>15.950000000000003</v>
      </c>
      <c r="F36" s="332"/>
      <c r="G36" s="321">
        <v>3107</v>
      </c>
      <c r="H36" s="322">
        <v>42770</v>
      </c>
      <c r="I36" s="307" t="s">
        <v>362</v>
      </c>
      <c r="J36" s="307"/>
      <c r="K36" s="307" t="s">
        <v>39</v>
      </c>
      <c r="L36" s="323">
        <v>75.03</v>
      </c>
      <c r="M36" s="323"/>
      <c r="N36" s="323">
        <f>IF(ISBLANK(CkReg16_18[[#This Row],[Withdrawal]]),N35+CkReg16_18[[#This Row],[Deposit]],N35-CkReg16_18[[#This Row],[Withdrawal]])</f>
        <v>3530.9780000000092</v>
      </c>
      <c r="O36" s="324">
        <v>41680</v>
      </c>
      <c r="P36" s="323">
        <f>IF(ISBLANK(CkReg16_18[[#This Row],[Withdrawal]]),P35+CkReg16_18[[#This Row],[Deposit]],P35-CkReg16_18[[#This Row],[Withdrawal]])</f>
        <v>13320.978000000006</v>
      </c>
      <c r="Q36" s="326"/>
    </row>
    <row r="37" spans="2:17" s="330" customFormat="1" x14ac:dyDescent="0.3">
      <c r="B37" s="331" t="s">
        <v>53</v>
      </c>
      <c r="C37" s="332">
        <f>-(SUMIF(CkReg16_18[Category],"=" &amp;CategoryTable8121014[[#This Row],[Category]],CkReg16_18[Withdrawal]))</f>
        <v>-64.540000000000006</v>
      </c>
      <c r="D37" s="332">
        <v>-25</v>
      </c>
      <c r="E37" s="332">
        <f>-CategoryTable8121014[[#This Row],[Budget]]+CategoryTable8121014[[#This Row],[Actual to date]]</f>
        <v>-39.540000000000006</v>
      </c>
      <c r="F37" s="332"/>
      <c r="G37" s="321">
        <v>3108</v>
      </c>
      <c r="H37" s="322">
        <v>42770</v>
      </c>
      <c r="I37" s="307" t="s">
        <v>156</v>
      </c>
      <c r="J37" s="307" t="s">
        <v>628</v>
      </c>
      <c r="K37" s="307" t="s">
        <v>45</v>
      </c>
      <c r="L37" s="323">
        <v>76</v>
      </c>
      <c r="M37" s="323"/>
      <c r="N37" s="323">
        <f>IF(ISBLANK(CkReg16_18[[#This Row],[Withdrawal]]),N36+CkReg16_18[[#This Row],[Deposit]],N36-CkReg16_18[[#This Row],[Withdrawal]])</f>
        <v>3454.9780000000092</v>
      </c>
      <c r="O37" s="324">
        <v>42793</v>
      </c>
      <c r="P37" s="323">
        <f>IF(ISBLANK(CkReg16_18[[#This Row],[Withdrawal]]),P36+CkReg16_18[[#This Row],[Deposit]],P36-CkReg16_18[[#This Row],[Withdrawal]])</f>
        <v>13244.978000000006</v>
      </c>
      <c r="Q37" s="326"/>
    </row>
    <row r="38" spans="2:17" s="330" customFormat="1" ht="13.8" x14ac:dyDescent="0.3">
      <c r="B38" s="331" t="s">
        <v>54</v>
      </c>
      <c r="C38" s="332">
        <f>-(SUMIF(CkReg16_18[Category],"=" &amp;CategoryTable8121014[[#This Row],[Category]],CkReg16_18[Withdrawal]))</f>
        <v>0</v>
      </c>
      <c r="D38" s="332">
        <v>-25</v>
      </c>
      <c r="E38" s="332">
        <f>-CategoryTable8121014[[#This Row],[Budget]]+CategoryTable8121014[[#This Row],[Actual to date]]</f>
        <v>25</v>
      </c>
      <c r="F38" s="332"/>
      <c r="G38" s="321">
        <v>3109</v>
      </c>
      <c r="H38" s="322">
        <v>42770</v>
      </c>
      <c r="I38" s="307" t="s">
        <v>156</v>
      </c>
      <c r="J38" s="307" t="s">
        <v>629</v>
      </c>
      <c r="K38" s="307" t="s">
        <v>389</v>
      </c>
      <c r="L38" s="323">
        <v>275</v>
      </c>
      <c r="M38" s="323"/>
      <c r="N38" s="323">
        <f>IF(ISBLANK(CkReg16_18[[#This Row],[Withdrawal]]),N37+CkReg16_18[[#This Row],[Deposit]],N37-CkReg16_18[[#This Row],[Withdrawal]])</f>
        <v>3179.9780000000092</v>
      </c>
      <c r="O38" s="324">
        <v>42793</v>
      </c>
      <c r="P38" s="323">
        <f>IF(ISBLANK(CkReg16_18[[#This Row],[Withdrawal]]),P37+CkReg16_18[[#This Row],[Deposit]],P37-CkReg16_18[[#This Row],[Withdrawal]])</f>
        <v>12969.978000000006</v>
      </c>
      <c r="Q38" s="333"/>
    </row>
    <row r="39" spans="2:17" s="330" customFormat="1" ht="13.8" x14ac:dyDescent="0.3">
      <c r="B39" s="331" t="s">
        <v>36</v>
      </c>
      <c r="C39" s="332">
        <f>-(SUMIF(CkReg16_18[Category],"=" &amp;CategoryTable8121014[[#This Row],[Category]],CkReg16_18[Withdrawal]))</f>
        <v>-523.39199999999994</v>
      </c>
      <c r="D39" s="332">
        <v>-500</v>
      </c>
      <c r="E39" s="332">
        <f>-CategoryTable8121014[[#This Row],[Budget]]+CategoryTable8121014[[#This Row],[Actual to date]]</f>
        <v>-23.391999999999939</v>
      </c>
      <c r="F39" s="332"/>
      <c r="G39" s="321">
        <v>3110</v>
      </c>
      <c r="H39" s="322">
        <v>42770</v>
      </c>
      <c r="I39" s="307" t="s">
        <v>630</v>
      </c>
      <c r="J39" s="307" t="s">
        <v>631</v>
      </c>
      <c r="K39" s="307" t="s">
        <v>52</v>
      </c>
      <c r="L39" s="323">
        <v>6.3</v>
      </c>
      <c r="M39" s="323"/>
      <c r="N39" s="323">
        <f>IF(ISBLANK(CkReg16_18[[#This Row],[Withdrawal]]),N38+CkReg16_18[[#This Row],[Deposit]],N38-CkReg16_18[[#This Row],[Withdrawal]])</f>
        <v>3173.678000000009</v>
      </c>
      <c r="O39" s="324">
        <v>42773</v>
      </c>
      <c r="P39" s="323">
        <f>IF(ISBLANK(CkReg16_18[[#This Row],[Withdrawal]]),P38+CkReg16_18[[#This Row],[Deposit]],P38-CkReg16_18[[#This Row],[Withdrawal]])</f>
        <v>12963.678000000007</v>
      </c>
      <c r="Q39" s="333"/>
    </row>
    <row r="40" spans="2:17" s="330" customFormat="1" ht="13.8" x14ac:dyDescent="0.3">
      <c r="B40" s="331" t="s">
        <v>573</v>
      </c>
      <c r="C40" s="332">
        <f>-(SUMIF(CkReg16_18[Category],"=" &amp;CategoryTable8121014[[#This Row],[Category]],CkReg16_18[Withdrawal]))</f>
        <v>-167.56</v>
      </c>
      <c r="D40" s="332">
        <v>-150</v>
      </c>
      <c r="E40" s="332">
        <f>-CategoryTable8121014[[#This Row],[Budget]]+CategoryTable8121014[[#This Row],[Actual to date]]</f>
        <v>-17.560000000000002</v>
      </c>
      <c r="F40" s="332"/>
      <c r="G40" s="321">
        <v>3111</v>
      </c>
      <c r="H40" s="322">
        <v>42770</v>
      </c>
      <c r="I40" s="307" t="s">
        <v>131</v>
      </c>
      <c r="J40" s="307" t="s">
        <v>631</v>
      </c>
      <c r="K40" s="334" t="s">
        <v>71</v>
      </c>
      <c r="L40" s="323">
        <v>4.12</v>
      </c>
      <c r="M40" s="323"/>
      <c r="N40" s="323">
        <f>IF(ISBLANK(CkReg16_18[[#This Row],[Withdrawal]]),N39+CkReg16_18[[#This Row],[Deposit]],N39-CkReg16_18[[#This Row],[Withdrawal]])</f>
        <v>3169.5580000000091</v>
      </c>
      <c r="O40" s="324">
        <v>42774</v>
      </c>
      <c r="P40" s="323">
        <f>IF(ISBLANK(CkReg16_18[[#This Row],[Withdrawal]]),P39+CkReg16_18[[#This Row],[Deposit]],P39-CkReg16_18[[#This Row],[Withdrawal]])</f>
        <v>12959.558000000006</v>
      </c>
      <c r="Q40" s="333"/>
    </row>
    <row r="41" spans="2:17" s="330" customFormat="1" ht="13.8" x14ac:dyDescent="0.3">
      <c r="B41" s="331" t="s">
        <v>574</v>
      </c>
      <c r="C41" s="332">
        <f>-(SUMIF(CkReg16_18[Category],"=" &amp;CategoryTable8121014[[#This Row],[Category]],CkReg16_18[Withdrawal]))</f>
        <v>-143.24</v>
      </c>
      <c r="D41" s="332">
        <v>-150</v>
      </c>
      <c r="E41" s="332">
        <f>-CategoryTable8121014[[#This Row],[Budget]]+CategoryTable8121014[[#This Row],[Actual to date]]</f>
        <v>6.7599999999999909</v>
      </c>
      <c r="F41" s="332"/>
      <c r="G41" s="321">
        <v>3112</v>
      </c>
      <c r="H41" s="322">
        <v>42770</v>
      </c>
      <c r="I41" s="307" t="s">
        <v>632</v>
      </c>
      <c r="J41" s="307" t="s">
        <v>633</v>
      </c>
      <c r="K41" s="307" t="s">
        <v>51</v>
      </c>
      <c r="L41" s="323">
        <v>230</v>
      </c>
      <c r="M41" s="323"/>
      <c r="N41" s="323">
        <f>IF(ISBLANK(CkReg16_18[[#This Row],[Withdrawal]]),N40+CkReg16_18[[#This Row],[Deposit]],N40-CkReg16_18[[#This Row],[Withdrawal]])</f>
        <v>2939.5580000000091</v>
      </c>
      <c r="O41" s="324">
        <v>42775</v>
      </c>
      <c r="P41" s="323">
        <f>IF(ISBLANK(CkReg16_18[[#This Row],[Withdrawal]]),P40+CkReg16_18[[#This Row],[Deposit]],P40-CkReg16_18[[#This Row],[Withdrawal]])</f>
        <v>12729.558000000006</v>
      </c>
      <c r="Q41" s="333"/>
    </row>
    <row r="42" spans="2:17" s="330" customFormat="1" ht="13.8" x14ac:dyDescent="0.3">
      <c r="B42" s="331" t="s">
        <v>388</v>
      </c>
      <c r="C42" s="332">
        <f>-(SUMIF(CkReg16_18[Category],"=" &amp;CategoryTable8121014[[#This Row],[Category]],CkReg16_18[Withdrawal]))</f>
        <v>0</v>
      </c>
      <c r="D42" s="332">
        <v>-100</v>
      </c>
      <c r="E42" s="332">
        <f>-CategoryTable8121014[[#This Row],[Budget]]+CategoryTable8121014[[#This Row],[Actual to date]]</f>
        <v>100</v>
      </c>
      <c r="F42" s="332"/>
      <c r="G42" s="321">
        <v>3113</v>
      </c>
      <c r="H42" s="322">
        <v>42770</v>
      </c>
      <c r="I42" s="307" t="s">
        <v>564</v>
      </c>
      <c r="J42" s="307" t="s">
        <v>453</v>
      </c>
      <c r="K42" s="307" t="s">
        <v>574</v>
      </c>
      <c r="L42" s="323">
        <v>33.6</v>
      </c>
      <c r="M42" s="323"/>
      <c r="N42" s="323">
        <f>IF(ISBLANK(CkReg16_18[[#This Row],[Withdrawal]]),N41+CkReg16_18[[#This Row],[Deposit]],N41-CkReg16_18[[#This Row],[Withdrawal]])</f>
        <v>2905.9580000000092</v>
      </c>
      <c r="O42" s="324">
        <v>42787</v>
      </c>
      <c r="P42" s="323">
        <f>IF(ISBLANK(CkReg16_18[[#This Row],[Withdrawal]]),P41+CkReg16_18[[#This Row],[Deposit]],P41-CkReg16_18[[#This Row],[Withdrawal]])</f>
        <v>12695.958000000006</v>
      </c>
      <c r="Q42" s="333"/>
    </row>
    <row r="43" spans="2:17" s="330" customFormat="1" ht="13.8" x14ac:dyDescent="0.3">
      <c r="B43" s="331" t="s">
        <v>389</v>
      </c>
      <c r="C43" s="332">
        <f>-(SUMIF(CkReg16_18[Category],"=" &amp;CategoryTable8121014[[#This Row],[Category]],CkReg16_18[Withdrawal]))</f>
        <v>-314.61</v>
      </c>
      <c r="D43" s="332">
        <v>-300</v>
      </c>
      <c r="E43" s="332">
        <f>-CategoryTable8121014[[#This Row],[Budget]]+CategoryTable8121014[[#This Row],[Actual to date]]</f>
        <v>-14.610000000000014</v>
      </c>
      <c r="F43" s="332"/>
      <c r="G43" s="321">
        <v>3114</v>
      </c>
      <c r="H43" s="322">
        <v>42770</v>
      </c>
      <c r="I43" s="307" t="s">
        <v>716</v>
      </c>
      <c r="J43" s="307" t="s">
        <v>634</v>
      </c>
      <c r="K43" s="307" t="s">
        <v>34</v>
      </c>
      <c r="L43" s="323">
        <v>250</v>
      </c>
      <c r="M43" s="323"/>
      <c r="N43" s="323">
        <f>IF(ISBLANK(CkReg16_18[[#This Row],[Withdrawal]]),N42+CkReg16_18[[#This Row],[Deposit]],N42-CkReg16_18[[#This Row],[Withdrawal]])</f>
        <v>2655.9580000000092</v>
      </c>
      <c r="O43" s="324">
        <v>42790</v>
      </c>
      <c r="P43" s="323">
        <f>IF(ISBLANK(CkReg16_18[[#This Row],[Withdrawal]]),P42+CkReg16_18[[#This Row],[Deposit]],P42-CkReg16_18[[#This Row],[Withdrawal]])</f>
        <v>12445.958000000006</v>
      </c>
      <c r="Q43" s="333"/>
    </row>
    <row r="44" spans="2:17" s="330" customFormat="1" ht="13.8" x14ac:dyDescent="0.3">
      <c r="B44" s="331" t="s">
        <v>390</v>
      </c>
      <c r="C44" s="332">
        <f>-(SUMIF(CkReg16_18[Category],"=" &amp;CategoryTable8121014[[#This Row],[Category]],CkReg16_18[Withdrawal]))</f>
        <v>-216.6</v>
      </c>
      <c r="D44" s="332">
        <v>-300</v>
      </c>
      <c r="E44" s="332">
        <f>-CategoryTable8121014[[#This Row],[Budget]]+CategoryTable8121014[[#This Row],[Actual to date]]</f>
        <v>83.4</v>
      </c>
      <c r="F44" s="332"/>
      <c r="G44" s="321">
        <v>409990</v>
      </c>
      <c r="H44" s="322">
        <v>42773</v>
      </c>
      <c r="I44" s="307" t="s">
        <v>640</v>
      </c>
      <c r="J44" s="307" t="s">
        <v>637</v>
      </c>
      <c r="K44" s="307" t="s">
        <v>32</v>
      </c>
      <c r="L44" s="323"/>
      <c r="M44" s="323">
        <v>20</v>
      </c>
      <c r="N44" s="323">
        <f>IF(ISBLANK(CkReg16_18[[#This Row],[Withdrawal]]),N43+CkReg16_18[[#This Row],[Deposit]],N43-CkReg16_18[[#This Row],[Withdrawal]])</f>
        <v>2675.9580000000092</v>
      </c>
      <c r="O44" s="324">
        <v>42776</v>
      </c>
      <c r="P44" s="323">
        <f>IF(ISBLANK(CkReg16_18[[#This Row],[Withdrawal]]),P43+CkReg16_18[[#This Row],[Deposit]],P43-CkReg16_18[[#This Row],[Withdrawal]])</f>
        <v>12465.958000000006</v>
      </c>
      <c r="Q44" s="333"/>
    </row>
    <row r="45" spans="2:17" s="330" customFormat="1" ht="13.8" x14ac:dyDescent="0.3">
      <c r="B45" s="331" t="s">
        <v>703</v>
      </c>
      <c r="C45" s="332">
        <f>-(SUMIF(CkReg16_18[Category],"=" &amp;CategoryTable8121014[[#This Row],[Category]],CkReg16_18[Withdrawal]))</f>
        <v>-2790</v>
      </c>
      <c r="D45" s="332">
        <v>-2790</v>
      </c>
      <c r="E45" s="332">
        <f>-CategoryTable8121014[[#This Row],[Budget]]+CategoryTable8121014[[#This Row],[Actual to date]]</f>
        <v>0</v>
      </c>
      <c r="F45" s="332"/>
      <c r="G45" s="321">
        <f t="shared" ref="G45:G53" si="0">1+G44</f>
        <v>409991</v>
      </c>
      <c r="H45" s="322">
        <v>42773</v>
      </c>
      <c r="I45" s="307" t="s">
        <v>395</v>
      </c>
      <c r="J45" s="307" t="s">
        <v>637</v>
      </c>
      <c r="K45" s="307" t="s">
        <v>32</v>
      </c>
      <c r="L45" s="323"/>
      <c r="M45" s="323">
        <v>20</v>
      </c>
      <c r="N45" s="323">
        <f>IF(ISBLANK(CkReg16_18[[#This Row],[Withdrawal]]),N44+CkReg16_18[[#This Row],[Deposit]],N44-CkReg16_18[[#This Row],[Withdrawal]])</f>
        <v>2695.9580000000092</v>
      </c>
      <c r="O45" s="324">
        <v>42776</v>
      </c>
      <c r="P45" s="323">
        <f>IF(ISBLANK(CkReg16_18[[#This Row],[Withdrawal]]),P44+CkReg16_18[[#This Row],[Deposit]],P44-CkReg16_18[[#This Row],[Withdrawal]])</f>
        <v>12485.958000000006</v>
      </c>
      <c r="Q45" s="333"/>
    </row>
    <row r="46" spans="2:17" s="330" customFormat="1" ht="13.8" x14ac:dyDescent="0.3">
      <c r="B46" s="331" t="s">
        <v>704</v>
      </c>
      <c r="C46" s="332">
        <f>-(SUMIF(CkReg16_18[Category],"=" &amp;CategoryTable8121014[[#This Row],[Category]],CkReg16_18[Withdrawal]))</f>
        <v>-175.27</v>
      </c>
      <c r="D46" s="332">
        <v>0</v>
      </c>
      <c r="E46" s="332">
        <f>-CategoryTable8121014[[#This Row],[Budget]]+CategoryTable8121014[[#This Row],[Actual to date]]</f>
        <v>-175.27</v>
      </c>
      <c r="F46" s="332"/>
      <c r="G46" s="321">
        <f t="shared" si="0"/>
        <v>409992</v>
      </c>
      <c r="H46" s="322">
        <v>42773</v>
      </c>
      <c r="I46" s="307" t="s">
        <v>638</v>
      </c>
      <c r="J46" s="307" t="s">
        <v>637</v>
      </c>
      <c r="K46" s="307" t="s">
        <v>32</v>
      </c>
      <c r="L46" s="323"/>
      <c r="M46" s="323">
        <v>100</v>
      </c>
      <c r="N46" s="323">
        <f>IF(ISBLANK(CkReg16_18[[#This Row],[Withdrawal]]),N45+CkReg16_18[[#This Row],[Deposit]],N45-CkReg16_18[[#This Row],[Withdrawal]])</f>
        <v>2795.9580000000092</v>
      </c>
      <c r="O46" s="324">
        <v>42776</v>
      </c>
      <c r="P46" s="323">
        <f>IF(ISBLANK(CkReg16_18[[#This Row],[Withdrawal]]),P45+CkReg16_18[[#This Row],[Deposit]],P45-CkReg16_18[[#This Row],[Withdrawal]])</f>
        <v>12585.958000000006</v>
      </c>
      <c r="Q46" s="333"/>
    </row>
    <row r="47" spans="2:17" s="330" customFormat="1" ht="13.8" x14ac:dyDescent="0.3">
      <c r="B47" s="331" t="s">
        <v>55</v>
      </c>
      <c r="C47" s="332">
        <f>-(SUMIF(CkReg16_18[Category],"=" &amp;CategoryTable8121014[[#This Row],[Category]],CkReg16_18[Withdrawal]))</f>
        <v>-3000</v>
      </c>
      <c r="D47" s="332">
        <v>-3000</v>
      </c>
      <c r="E47" s="332">
        <f>-CategoryTable8121014[[#This Row],[Budget]]+CategoryTable8121014[[#This Row],[Actual to date]]</f>
        <v>0</v>
      </c>
      <c r="F47" s="332"/>
      <c r="G47" s="321">
        <f t="shared" si="0"/>
        <v>409993</v>
      </c>
      <c r="H47" s="322">
        <v>42773</v>
      </c>
      <c r="I47" s="307" t="s">
        <v>600</v>
      </c>
      <c r="J47" s="307" t="s">
        <v>637</v>
      </c>
      <c r="K47" s="307" t="s">
        <v>32</v>
      </c>
      <c r="L47" s="323"/>
      <c r="M47" s="323">
        <v>0</v>
      </c>
      <c r="N47" s="323">
        <f>IF(ISBLANK(CkReg16_18[[#This Row],[Withdrawal]]),N46+CkReg16_18[[#This Row],[Deposit]],N46-CkReg16_18[[#This Row],[Withdrawal]])</f>
        <v>2795.9580000000092</v>
      </c>
      <c r="O47" s="324">
        <v>42776</v>
      </c>
      <c r="P47" s="323">
        <f>IF(ISBLANK(CkReg16_18[[#This Row],[Withdrawal]]),P46+CkReg16_18[[#This Row],[Deposit]],P46-CkReg16_18[[#This Row],[Withdrawal]])</f>
        <v>12585.958000000006</v>
      </c>
      <c r="Q47" s="333"/>
    </row>
    <row r="48" spans="2:17" s="330" customFormat="1" ht="13.8" x14ac:dyDescent="0.3">
      <c r="B48" s="331" t="s">
        <v>56</v>
      </c>
      <c r="C48" s="332">
        <f>-(SUMIF(CkReg16_18[Category],"=" &amp;CategoryTable8121014[[#This Row],[Category]],CkReg16_18[Withdrawal]))</f>
        <v>-4000</v>
      </c>
      <c r="D48" s="332">
        <v>-4000</v>
      </c>
      <c r="E48" s="332">
        <f>-CategoryTable8121014[[#This Row],[Budget]]+CategoryTable8121014[[#This Row],[Actual to date]]</f>
        <v>0</v>
      </c>
      <c r="F48" s="332"/>
      <c r="G48" s="321">
        <f t="shared" si="0"/>
        <v>409994</v>
      </c>
      <c r="H48" s="322">
        <v>42773</v>
      </c>
      <c r="I48" s="307" t="s">
        <v>394</v>
      </c>
      <c r="J48" s="307" t="s">
        <v>637</v>
      </c>
      <c r="K48" s="307" t="s">
        <v>32</v>
      </c>
      <c r="L48" s="323"/>
      <c r="M48" s="323">
        <v>10</v>
      </c>
      <c r="N48" s="323">
        <f>IF(ISBLANK(CkReg16_18[[#This Row],[Withdrawal]]),N47+CkReg16_18[[#This Row],[Deposit]],N47-CkReg16_18[[#This Row],[Withdrawal]])</f>
        <v>2805.9580000000092</v>
      </c>
      <c r="O48" s="324">
        <v>42776</v>
      </c>
      <c r="P48" s="323">
        <f>IF(ISBLANK(CkReg16_18[[#This Row],[Withdrawal]]),P47+CkReg16_18[[#This Row],[Deposit]],P47-CkReg16_18[[#This Row],[Withdrawal]])</f>
        <v>12595.958000000006</v>
      </c>
      <c r="Q48" s="333"/>
    </row>
    <row r="49" spans="2:17" s="330" customFormat="1" ht="13.8" x14ac:dyDescent="0.3">
      <c r="B49" s="331" t="s">
        <v>590</v>
      </c>
      <c r="C49" s="332">
        <f>SUMIF(CkReg16_18[Category],"=" &amp;CategoryTable8121014[[#This Row],[Category]],CkReg16_18[Deposit])</f>
        <v>-27.260000000000005</v>
      </c>
      <c r="D49" s="332">
        <v>0</v>
      </c>
      <c r="E49" s="332">
        <f>-CategoryTable8121014[[#This Row],[Budget]]+CategoryTable8121014[[#This Row],[Actual to date]]</f>
        <v>-27.260000000000005</v>
      </c>
      <c r="F49" s="332"/>
      <c r="G49" s="321">
        <f t="shared" si="0"/>
        <v>409995</v>
      </c>
      <c r="H49" s="322">
        <v>42773</v>
      </c>
      <c r="I49" s="307" t="s">
        <v>395</v>
      </c>
      <c r="J49" s="307" t="s">
        <v>637</v>
      </c>
      <c r="K49" s="307" t="s">
        <v>32</v>
      </c>
      <c r="L49" s="323"/>
      <c r="M49" s="323">
        <v>30</v>
      </c>
      <c r="N49" s="323">
        <f>IF(ISBLANK(CkReg16_18[[#This Row],[Withdrawal]]),N48+CkReg16_18[[#This Row],[Deposit]],N48-CkReg16_18[[#This Row],[Withdrawal]])</f>
        <v>2835.9580000000092</v>
      </c>
      <c r="O49" s="324">
        <v>42776</v>
      </c>
      <c r="P49" s="323">
        <f>IF(ISBLANK(CkReg16_18[[#This Row],[Withdrawal]]),P48+CkReg16_18[[#This Row],[Deposit]],P48-CkReg16_18[[#This Row],[Withdrawal]])</f>
        <v>12625.958000000006</v>
      </c>
      <c r="Q49" s="333"/>
    </row>
    <row r="50" spans="2:17" s="330" customFormat="1" ht="13.8" x14ac:dyDescent="0.3">
      <c r="B50" s="331" t="s">
        <v>58</v>
      </c>
      <c r="C50" s="332">
        <f>-(SUMIF(CkReg16_18[Category],"=" &amp;CategoryTable8121014[[#This Row],[Category]],CkReg16_18[Withdrawal]))</f>
        <v>0</v>
      </c>
      <c r="D50" s="332">
        <v>0</v>
      </c>
      <c r="E50" s="332">
        <f>-CategoryTable8121014[[#This Row],[Budget]]+CategoryTable8121014[[#This Row],[Actual to date]]</f>
        <v>0</v>
      </c>
      <c r="F50" s="332"/>
      <c r="G50" s="321">
        <f t="shared" si="0"/>
        <v>409996</v>
      </c>
      <c r="H50" s="322">
        <v>42773</v>
      </c>
      <c r="I50" s="307" t="s">
        <v>639</v>
      </c>
      <c r="J50" s="307" t="s">
        <v>637</v>
      </c>
      <c r="K50" s="307" t="s">
        <v>32</v>
      </c>
      <c r="L50" s="323"/>
      <c r="M50" s="323">
        <v>25</v>
      </c>
      <c r="N50" s="323">
        <f>IF(ISBLANK(CkReg16_18[[#This Row],[Withdrawal]]),N49+CkReg16_18[[#This Row],[Deposit]],N49-CkReg16_18[[#This Row],[Withdrawal]])</f>
        <v>2860.9580000000092</v>
      </c>
      <c r="O50" s="324">
        <v>42776</v>
      </c>
      <c r="P50" s="323">
        <f>IF(ISBLANK(CkReg16_18[[#This Row],[Withdrawal]]),P49+CkReg16_18[[#This Row],[Deposit]],P49-CkReg16_18[[#This Row],[Withdrawal]])</f>
        <v>12650.958000000006</v>
      </c>
      <c r="Q50" s="333"/>
    </row>
    <row r="51" spans="2:17" s="330" customFormat="1" ht="13.8" x14ac:dyDescent="0.3">
      <c r="B51" s="331" t="s">
        <v>59</v>
      </c>
      <c r="C51" s="332">
        <f>-(SUMIF(CkReg16_18[Category],"=" &amp;CategoryTable8121014[[#This Row],[Category]],CkReg16_18[Withdrawal]))</f>
        <v>0</v>
      </c>
      <c r="D51" s="332">
        <v>0</v>
      </c>
      <c r="E51" s="332">
        <f>-CategoryTable8121014[[#This Row],[Budget]]+CategoryTable8121014[[#This Row],[Actual to date]]</f>
        <v>0</v>
      </c>
      <c r="F51" s="332"/>
      <c r="G51" s="321">
        <f t="shared" si="0"/>
        <v>409997</v>
      </c>
      <c r="H51" s="322">
        <v>42773</v>
      </c>
      <c r="I51" s="307" t="s">
        <v>396</v>
      </c>
      <c r="J51" s="307" t="s">
        <v>637</v>
      </c>
      <c r="K51" s="307" t="s">
        <v>32</v>
      </c>
      <c r="L51" s="323"/>
      <c r="M51" s="323">
        <v>40</v>
      </c>
      <c r="N51" s="323">
        <f>IF(ISBLANK(CkReg16_18[[#This Row],[Withdrawal]]),N50+CkReg16_18[[#This Row],[Deposit]],N50-CkReg16_18[[#This Row],[Withdrawal]])</f>
        <v>2900.9580000000092</v>
      </c>
      <c r="O51" s="324">
        <v>42776</v>
      </c>
      <c r="P51" s="323">
        <f>IF(ISBLANK(CkReg16_18[[#This Row],[Withdrawal]]),P50+CkReg16_18[[#This Row],[Deposit]],P50-CkReg16_18[[#This Row],[Withdrawal]])</f>
        <v>12690.958000000006</v>
      </c>
      <c r="Q51" s="333"/>
    </row>
    <row r="52" spans="2:17" s="330" customFormat="1" ht="13.8" x14ac:dyDescent="0.3">
      <c r="B52" s="331" t="s">
        <v>60</v>
      </c>
      <c r="C52" s="332">
        <f>SUMIF(CkReg16_18[Category],"=" &amp;CategoryTable8121014[[#This Row],[Category]],CkReg16_18[Deposit])</f>
        <v>5280.55</v>
      </c>
      <c r="D52" s="332">
        <v>6500</v>
      </c>
      <c r="E52" s="332">
        <f>-CategoryTable8121014[[#This Row],[Budget]]+CategoryTable8121014[[#This Row],[Actual to date]]</f>
        <v>-1219.4499999999998</v>
      </c>
      <c r="F52" s="332"/>
      <c r="G52" s="321">
        <f t="shared" si="0"/>
        <v>409998</v>
      </c>
      <c r="H52" s="322">
        <v>42773</v>
      </c>
      <c r="I52" s="307" t="s">
        <v>591</v>
      </c>
      <c r="J52" s="307" t="s">
        <v>637</v>
      </c>
      <c r="K52" s="307" t="s">
        <v>32</v>
      </c>
      <c r="L52" s="323"/>
      <c r="M52" s="323">
        <v>25</v>
      </c>
      <c r="N52" s="323">
        <f>IF(ISBLANK(CkReg16_18[[#This Row],[Withdrawal]]),N51+CkReg16_18[[#This Row],[Deposit]],N51-CkReg16_18[[#This Row],[Withdrawal]])</f>
        <v>2925.9580000000092</v>
      </c>
      <c r="O52" s="324">
        <v>42776</v>
      </c>
      <c r="P52" s="323">
        <f>IF(ISBLANK(CkReg16_18[[#This Row],[Withdrawal]]),P51+CkReg16_18[[#This Row],[Deposit]],P51-CkReg16_18[[#This Row],[Withdrawal]])</f>
        <v>12715.958000000006</v>
      </c>
      <c r="Q52" s="333"/>
    </row>
    <row r="53" spans="2:17" s="330" customFormat="1" ht="13.8" x14ac:dyDescent="0.3">
      <c r="B53" s="331" t="s">
        <v>61</v>
      </c>
      <c r="C53" s="332">
        <f>SUMIF(CkReg16_18[Category],"=" &amp;CategoryTable8121014[[#This Row],[Category]],CkReg16_18[Deposit])</f>
        <v>15268.6</v>
      </c>
      <c r="D53" s="332">
        <v>19000</v>
      </c>
      <c r="E53" s="332">
        <f>-CategoryTable8121014[[#This Row],[Budget]]+CategoryTable8121014[[#This Row],[Actual to date]]</f>
        <v>-3731.3999999999996</v>
      </c>
      <c r="F53" s="332"/>
      <c r="G53" s="321">
        <f t="shared" si="0"/>
        <v>409999</v>
      </c>
      <c r="H53" s="322">
        <v>42773</v>
      </c>
      <c r="I53" s="307" t="s">
        <v>423</v>
      </c>
      <c r="J53" s="307" t="s">
        <v>637</v>
      </c>
      <c r="K53" s="307" t="s">
        <v>32</v>
      </c>
      <c r="L53" s="323"/>
      <c r="M53" s="323">
        <v>20</v>
      </c>
      <c r="N53" s="323">
        <f>IF(ISBLANK(CkReg16_18[[#This Row],[Withdrawal]]),N52+CkReg16_18[[#This Row],[Deposit]],N52-CkReg16_18[[#This Row],[Withdrawal]])</f>
        <v>2945.9580000000092</v>
      </c>
      <c r="O53" s="324">
        <v>42776</v>
      </c>
      <c r="P53" s="323">
        <f>IF(ISBLANK(CkReg16_18[[#This Row],[Withdrawal]]),P52+CkReg16_18[[#This Row],[Deposit]],P52-CkReg16_18[[#This Row],[Withdrawal]])</f>
        <v>12735.958000000006</v>
      </c>
      <c r="Q53" s="333"/>
    </row>
    <row r="54" spans="2:17" s="330" customFormat="1" ht="13.8" x14ac:dyDescent="0.3">
      <c r="B54" s="331" t="s">
        <v>62</v>
      </c>
      <c r="C54" s="332">
        <f>-(SUMIF(CkReg16_18[Category],"=" &amp;CategoryTable8121014[[#This Row],[Category]],CkReg16_18[Withdrawal]))</f>
        <v>-91.53</v>
      </c>
      <c r="D54" s="332">
        <v>-100</v>
      </c>
      <c r="E54" s="332">
        <f>-CategoryTable8121014[[#This Row],[Budget]]+CategoryTable8121014[[#This Row],[Actual to date]]</f>
        <v>8.4699999999999989</v>
      </c>
      <c r="F54" s="332"/>
      <c r="G54" s="321"/>
      <c r="H54" s="322">
        <v>42794</v>
      </c>
      <c r="I54" s="307" t="s">
        <v>434</v>
      </c>
      <c r="J54" s="307" t="s">
        <v>261</v>
      </c>
      <c r="K54" s="307" t="s">
        <v>91</v>
      </c>
      <c r="L54" s="323"/>
      <c r="M54" s="323">
        <v>0.51</v>
      </c>
      <c r="N54" s="323">
        <f>IF(ISBLANK(CkReg16_18[[#This Row],[Withdrawal]]),N53+CkReg16_18[[#This Row],[Deposit]],N53-CkReg16_18[[#This Row],[Withdrawal]])</f>
        <v>2946.4680000000094</v>
      </c>
      <c r="O54" s="324">
        <v>42794</v>
      </c>
      <c r="P54" s="323">
        <f>IF(ISBLANK(CkReg16_18[[#This Row],[Withdrawal]]),P53+CkReg16_18[[#This Row],[Deposit]],P53-CkReg16_18[[#This Row],[Withdrawal]])</f>
        <v>12736.468000000006</v>
      </c>
      <c r="Q54" s="333"/>
    </row>
    <row r="55" spans="2:17" s="330" customFormat="1" ht="13.8" x14ac:dyDescent="0.3">
      <c r="B55" s="331" t="s">
        <v>63</v>
      </c>
      <c r="C55" s="332">
        <f>-(SUMIF(CkReg16_18[Category],"=" &amp;CategoryTable8121014[[#This Row],[Category]],CkReg16_18[Withdrawal]))</f>
        <v>-93.87</v>
      </c>
      <c r="D55" s="332">
        <v>-100</v>
      </c>
      <c r="E55" s="332">
        <f>-CategoryTable8121014[[#This Row],[Budget]]+CategoryTable8121014[[#This Row],[Actual to date]]</f>
        <v>6.1299999999999955</v>
      </c>
      <c r="F55" s="332"/>
      <c r="G55" s="321"/>
      <c r="H55" s="322"/>
      <c r="I55" s="307" t="s">
        <v>641</v>
      </c>
      <c r="J55" s="307"/>
      <c r="K55" s="307" t="s">
        <v>91</v>
      </c>
      <c r="L55" s="323"/>
      <c r="M55" s="335">
        <v>0.02</v>
      </c>
      <c r="N55" s="323">
        <f>IF(ISBLANK(CkReg16_18[[#This Row],[Withdrawal]]),N54+CkReg16_18[[#This Row],[Deposit]],N54-CkReg16_18[[#This Row],[Withdrawal]])</f>
        <v>2946.4880000000094</v>
      </c>
      <c r="O55" s="324">
        <v>42794</v>
      </c>
      <c r="P55" s="323">
        <f>IF(ISBLANK(CkReg16_18[[#This Row],[Withdrawal]]),P54+CkReg16_18[[#This Row],[Deposit]],P54-CkReg16_18[[#This Row],[Withdrawal]])</f>
        <v>12736.488000000007</v>
      </c>
      <c r="Q55" s="333">
        <v>42794</v>
      </c>
    </row>
    <row r="56" spans="2:17" s="330" customFormat="1" ht="13.8" x14ac:dyDescent="0.3">
      <c r="B56" s="331" t="s">
        <v>64</v>
      </c>
      <c r="C56" s="332">
        <f>-(SUMIF(CkReg16_18[Category],"=" &amp;CategoryTable8121014[[#This Row],[Category]],CkReg16_18[Withdrawal]))</f>
        <v>-51.45</v>
      </c>
      <c r="D56" s="332">
        <v>-50</v>
      </c>
      <c r="E56" s="332">
        <f>-CategoryTable8121014[[#This Row],[Budget]]+CategoryTable8121014[[#This Row],[Actual to date]]</f>
        <v>-1.4500000000000028</v>
      </c>
      <c r="F56" s="332"/>
      <c r="G56" s="321">
        <v>3115</v>
      </c>
      <c r="H56" s="322">
        <v>42822</v>
      </c>
      <c r="I56" s="307" t="s">
        <v>635</v>
      </c>
      <c r="J56" s="307" t="s">
        <v>688</v>
      </c>
      <c r="K56" s="307" t="s">
        <v>43</v>
      </c>
      <c r="L56" s="323">
        <v>100</v>
      </c>
      <c r="M56" s="323"/>
      <c r="N56" s="323">
        <f>IF(ISBLANK(CkReg16_18[[#This Row],[Withdrawal]]),N55+CkReg16_18[[#This Row],[Deposit]],N55-CkReg16_18[[#This Row],[Withdrawal]])</f>
        <v>2846.4880000000094</v>
      </c>
      <c r="O56" s="324">
        <v>42947</v>
      </c>
      <c r="P56" s="323">
        <f>IF(ISBLANK(CkReg16_18[[#This Row],[Withdrawal]]),P55+CkReg16_18[[#This Row],[Deposit]],P55-CkReg16_18[[#This Row],[Withdrawal]])</f>
        <v>12636.488000000007</v>
      </c>
      <c r="Q56" s="333"/>
    </row>
    <row r="57" spans="2:17" s="330" customFormat="1" ht="13.8" x14ac:dyDescent="0.3">
      <c r="B57" s="331" t="s">
        <v>65</v>
      </c>
      <c r="C57" s="332">
        <f>-(SUMIF(CkReg16_18[Category],"=" &amp;CategoryTable8121014[[#This Row],[Category]],CkReg16_18[Withdrawal]))</f>
        <v>-55.47</v>
      </c>
      <c r="D57" s="332">
        <v>-50</v>
      </c>
      <c r="E57" s="332">
        <f>-CategoryTable8121014[[#This Row],[Budget]]+CategoryTable8121014[[#This Row],[Actual to date]]</f>
        <v>-5.4699999999999989</v>
      </c>
      <c r="F57" s="332"/>
      <c r="G57" s="321"/>
      <c r="H57" s="322">
        <v>42825</v>
      </c>
      <c r="I57" s="307" t="s">
        <v>434</v>
      </c>
      <c r="J57" s="307" t="s">
        <v>261</v>
      </c>
      <c r="K57" s="307" t="s">
        <v>91</v>
      </c>
      <c r="L57" s="323"/>
      <c r="M57" s="323">
        <v>0.54</v>
      </c>
      <c r="N57" s="323">
        <f>IF(ISBLANK(CkReg16_18[[#This Row],[Withdrawal]]),N56+CkReg16_18[[#This Row],[Deposit]],N56-CkReg16_18[[#This Row],[Withdrawal]])</f>
        <v>2847.0280000000093</v>
      </c>
      <c r="O57" s="324">
        <v>42825</v>
      </c>
      <c r="P57" s="323">
        <f>IF(ISBLANK(CkReg16_18[[#This Row],[Withdrawal]]),P56+CkReg16_18[[#This Row],[Deposit]],P56-CkReg16_18[[#This Row],[Withdrawal]])</f>
        <v>12637.028000000008</v>
      </c>
      <c r="Q57" s="333">
        <v>42825</v>
      </c>
    </row>
    <row r="58" spans="2:17" s="330" customFormat="1" ht="13.8" x14ac:dyDescent="0.3">
      <c r="B58" s="331" t="s">
        <v>66</v>
      </c>
      <c r="C58" s="332">
        <f>-(SUMIF(CkReg16_18[Category],"=" &amp;CategoryTable8121014[[#This Row],[Category]],CkReg16_18[Withdrawal]))</f>
        <v>-7632.1</v>
      </c>
      <c r="D58" s="332">
        <v>-9000</v>
      </c>
      <c r="E58" s="332">
        <f>-CategoryTable8121014[[#This Row],[Budget]]+CategoryTable8121014[[#This Row],[Actual to date]]</f>
        <v>1367.8999999999996</v>
      </c>
      <c r="F58" s="332"/>
      <c r="G58" s="321">
        <v>3116</v>
      </c>
      <c r="H58" s="322">
        <v>42840</v>
      </c>
      <c r="I58" s="307" t="s">
        <v>362</v>
      </c>
      <c r="J58" s="307" t="s">
        <v>39</v>
      </c>
      <c r="K58" s="307" t="s">
        <v>39</v>
      </c>
      <c r="L58" s="323">
        <v>54.97</v>
      </c>
      <c r="M58" s="336"/>
      <c r="N58" s="323">
        <f>IF(ISBLANK(CkReg16_18[[#This Row],[Withdrawal]]),N57+CkReg16_18[[#This Row],[Deposit]],N57-CkReg16_18[[#This Row],[Withdrawal]])</f>
        <v>2792.0580000000095</v>
      </c>
      <c r="O58" s="324">
        <v>42843</v>
      </c>
      <c r="P58" s="323">
        <f>IF(ISBLANK(CkReg16_18[[#This Row],[Withdrawal]]),P57+CkReg16_18[[#This Row],[Deposit]],P57-CkReg16_18[[#This Row],[Withdrawal]])</f>
        <v>12582.058000000008</v>
      </c>
      <c r="Q58" s="333"/>
    </row>
    <row r="59" spans="2:17" s="330" customFormat="1" ht="13.8" x14ac:dyDescent="0.3">
      <c r="B59" s="331" t="s">
        <v>67</v>
      </c>
      <c r="C59" s="332">
        <f>-(SUMIF(CkReg16_18[Category],"=" &amp;CategoryTable8121014[[#This Row],[Category]],CkReg16_18[Withdrawal]))</f>
        <v>-4243.25</v>
      </c>
      <c r="D59" s="332">
        <v>-4000</v>
      </c>
      <c r="E59" s="332">
        <f>-CategoryTable8121014[[#This Row],[Budget]]+CategoryTable8121014[[#This Row],[Actual to date]]</f>
        <v>-243.25</v>
      </c>
      <c r="F59" s="332"/>
      <c r="G59" s="321">
        <v>3116</v>
      </c>
      <c r="H59" s="322">
        <v>42840</v>
      </c>
      <c r="I59" s="307" t="s">
        <v>362</v>
      </c>
      <c r="J59" s="307" t="s">
        <v>642</v>
      </c>
      <c r="K59" s="307" t="s">
        <v>70</v>
      </c>
      <c r="L59" s="323">
        <v>124.64</v>
      </c>
      <c r="M59" s="336"/>
      <c r="N59" s="323">
        <f>IF(ISBLANK(CkReg16_18[[#This Row],[Withdrawal]]),N58+CkReg16_18[[#This Row],[Deposit]],N58-CkReg16_18[[#This Row],[Withdrawal]])</f>
        <v>2667.4180000000097</v>
      </c>
      <c r="O59" s="324">
        <v>42843</v>
      </c>
      <c r="P59" s="323">
        <f>IF(ISBLANK(CkReg16_18[[#This Row],[Withdrawal]]),P58+CkReg16_18[[#This Row],[Deposit]],P58-CkReg16_18[[#This Row],[Withdrawal]])</f>
        <v>12457.418000000009</v>
      </c>
      <c r="Q59" s="333"/>
    </row>
    <row r="60" spans="2:17" s="330" customFormat="1" ht="13.8" x14ac:dyDescent="0.3">
      <c r="B60" s="331" t="s">
        <v>68</v>
      </c>
      <c r="C60" s="332">
        <f>-(SUMIF(CkReg16_18[Category],"=" &amp;CategoryTable8121014[[#This Row],[Category]],CkReg16_18[Withdrawal]))</f>
        <v>-523.38</v>
      </c>
      <c r="D60" s="332">
        <v>-800</v>
      </c>
      <c r="E60" s="332">
        <f>-CategoryTable8121014[[#This Row],[Budget]]+CategoryTable8121014[[#This Row],[Actual to date]]</f>
        <v>276.62</v>
      </c>
      <c r="F60" s="332"/>
      <c r="G60" s="321">
        <v>3116</v>
      </c>
      <c r="H60" s="322">
        <v>42840</v>
      </c>
      <c r="I60" s="307" t="s">
        <v>362</v>
      </c>
      <c r="J60" s="307" t="s">
        <v>643</v>
      </c>
      <c r="K60" s="307" t="s">
        <v>70</v>
      </c>
      <c r="L60" s="323">
        <v>13.08</v>
      </c>
      <c r="M60" s="336"/>
      <c r="N60" s="323">
        <f>IF(ISBLANK(CkReg16_18[[#This Row],[Withdrawal]]),N59+CkReg16_18[[#This Row],[Deposit]],N59-CkReg16_18[[#This Row],[Withdrawal]])</f>
        <v>2654.3380000000097</v>
      </c>
      <c r="O60" s="324">
        <v>42843</v>
      </c>
      <c r="P60" s="323">
        <f>IF(ISBLANK(CkReg16_18[[#This Row],[Withdrawal]]),P59+CkReg16_18[[#This Row],[Deposit]],P59-CkReg16_18[[#This Row],[Withdrawal]])</f>
        <v>12444.338000000009</v>
      </c>
      <c r="Q60" s="333"/>
    </row>
    <row r="61" spans="2:17" s="330" customFormat="1" ht="13.8" x14ac:dyDescent="0.3">
      <c r="B61" s="331" t="s">
        <v>69</v>
      </c>
      <c r="C61" s="332">
        <f>-(SUMIF(CkReg16_18[Category],"=" &amp;CategoryTable8121014[[#This Row],[Category]],CkReg16_18[Withdrawal]))</f>
        <v>-5807</v>
      </c>
      <c r="D61" s="332">
        <v>-6000</v>
      </c>
      <c r="E61" s="332">
        <f>-CategoryTable8121014[[#This Row],[Budget]]+CategoryTable8121014[[#This Row],[Actual to date]]</f>
        <v>193</v>
      </c>
      <c r="F61" s="332"/>
      <c r="G61" s="321">
        <v>3117</v>
      </c>
      <c r="H61" s="322">
        <v>42840</v>
      </c>
      <c r="I61" s="307" t="s">
        <v>720</v>
      </c>
      <c r="J61" s="307" t="s">
        <v>644</v>
      </c>
      <c r="K61" s="307" t="s">
        <v>44</v>
      </c>
      <c r="L61" s="323">
        <v>47.82</v>
      </c>
      <c r="M61" s="336"/>
      <c r="N61" s="323">
        <f>IF(ISBLANK(CkReg16_18[[#This Row],[Withdrawal]]),N60+CkReg16_18[[#This Row],[Deposit]],N60-CkReg16_18[[#This Row],[Withdrawal]])</f>
        <v>2606.5180000000096</v>
      </c>
      <c r="O61" s="324">
        <v>42865</v>
      </c>
      <c r="P61" s="323">
        <f>IF(ISBLANK(CkReg16_18[[#This Row],[Withdrawal]]),P60+CkReg16_18[[#This Row],[Deposit]],P60-CkReg16_18[[#This Row],[Withdrawal]])</f>
        <v>12396.518000000009</v>
      </c>
      <c r="Q61" s="333"/>
    </row>
    <row r="62" spans="2:17" s="330" customFormat="1" ht="13.8" x14ac:dyDescent="0.3">
      <c r="B62" s="331" t="s">
        <v>70</v>
      </c>
      <c r="C62" s="332">
        <f>-(SUMIF(CkReg16_18[Category],"=" &amp;CategoryTable8121014[[#This Row],[Category]],CkReg16_18[Withdrawal]))</f>
        <v>-723.83</v>
      </c>
      <c r="D62" s="332">
        <v>-500</v>
      </c>
      <c r="E62" s="332">
        <f>-CategoryTable8121014[[#This Row],[Budget]]+CategoryTable8121014[[#This Row],[Actual to date]]</f>
        <v>-223.83000000000004</v>
      </c>
      <c r="F62" s="332"/>
      <c r="G62" s="321">
        <v>47201</v>
      </c>
      <c r="H62" s="322">
        <v>42840</v>
      </c>
      <c r="I62" s="307" t="s">
        <v>392</v>
      </c>
      <c r="J62" s="307"/>
      <c r="K62" s="307" t="s">
        <v>32</v>
      </c>
      <c r="L62" s="323"/>
      <c r="M62" s="336">
        <v>50</v>
      </c>
      <c r="N62" s="323">
        <f>IF(ISBLANK(CkReg16_18[[#This Row],[Withdrawal]]),N61+CkReg16_18[[#This Row],[Deposit]],N61-CkReg16_18[[#This Row],[Withdrawal]])</f>
        <v>2656.5180000000096</v>
      </c>
      <c r="O62" s="324">
        <v>42843</v>
      </c>
      <c r="P62" s="323">
        <f>IF(ISBLANK(CkReg16_18[[#This Row],[Withdrawal]]),P61+CkReg16_18[[#This Row],[Deposit]],P61-CkReg16_18[[#This Row],[Withdrawal]])</f>
        <v>12446.518000000009</v>
      </c>
      <c r="Q62" s="333"/>
    </row>
    <row r="63" spans="2:17" s="330" customFormat="1" ht="13.8" x14ac:dyDescent="0.3">
      <c r="B63" s="331" t="s">
        <v>71</v>
      </c>
      <c r="C63" s="332">
        <f>-(SUMIF(CkReg16_18[Category],"=" &amp;CategoryTable8121014[[#This Row],[Category]],CkReg16_18[Withdrawal]))</f>
        <v>-4.12</v>
      </c>
      <c r="D63" s="332">
        <v>-50</v>
      </c>
      <c r="E63" s="332">
        <f>-CategoryTable8121014[[#This Row],[Budget]]+CategoryTable8121014[[#This Row],[Actual to date]]</f>
        <v>45.88</v>
      </c>
      <c r="F63" s="332"/>
      <c r="G63" s="321">
        <v>47202</v>
      </c>
      <c r="H63" s="322">
        <v>42840</v>
      </c>
      <c r="I63" s="307" t="s">
        <v>645</v>
      </c>
      <c r="J63" s="307"/>
      <c r="K63" s="307" t="s">
        <v>32</v>
      </c>
      <c r="L63" s="323"/>
      <c r="M63" s="336">
        <v>110</v>
      </c>
      <c r="N63" s="323">
        <f>IF(ISBLANK(CkReg16_18[[#This Row],[Withdrawal]]),N62+CkReg16_18[[#This Row],[Deposit]],N62-CkReg16_18[[#This Row],[Withdrawal]])</f>
        <v>2766.5180000000096</v>
      </c>
      <c r="O63" s="324">
        <v>42843</v>
      </c>
      <c r="P63" s="323">
        <f>IF(ISBLANK(CkReg16_18[[#This Row],[Withdrawal]]),P62+CkReg16_18[[#This Row],[Deposit]],P62-CkReg16_18[[#This Row],[Withdrawal]])</f>
        <v>12556.518000000009</v>
      </c>
      <c r="Q63" s="333"/>
    </row>
    <row r="64" spans="2:17" s="330" customFormat="1" ht="13.8" x14ac:dyDescent="0.3">
      <c r="B64" s="331" t="s">
        <v>72</v>
      </c>
      <c r="C64" s="332">
        <f>-(SUMIF(CkReg16_18[Category],"=" &amp;CategoryTable8121014[[#This Row],[Category]],CkReg16_18[Withdrawal]))</f>
        <v>0</v>
      </c>
      <c r="D64" s="332">
        <v>-200</v>
      </c>
      <c r="E64" s="332">
        <f>-CategoryTable8121014[[#This Row],[Budget]]+CategoryTable8121014[[#This Row],[Actual to date]]</f>
        <v>200</v>
      </c>
      <c r="F64" s="332"/>
      <c r="G64" s="321">
        <v>47203</v>
      </c>
      <c r="H64" s="322">
        <v>42840</v>
      </c>
      <c r="I64" s="307" t="s">
        <v>534</v>
      </c>
      <c r="J64" s="307"/>
      <c r="K64" s="307" t="s">
        <v>32</v>
      </c>
      <c r="L64" s="323"/>
      <c r="M64" s="336">
        <v>50</v>
      </c>
      <c r="N64" s="323">
        <f>IF(ISBLANK(CkReg16_18[[#This Row],[Withdrawal]]),N63+CkReg16_18[[#This Row],[Deposit]],N63-CkReg16_18[[#This Row],[Withdrawal]])</f>
        <v>2816.5180000000096</v>
      </c>
      <c r="O64" s="324">
        <v>42843</v>
      </c>
      <c r="P64" s="323">
        <f>IF(ISBLANK(CkReg16_18[[#This Row],[Withdrawal]]),P63+CkReg16_18[[#This Row],[Deposit]],P63-CkReg16_18[[#This Row],[Withdrawal]])</f>
        <v>12606.518000000009</v>
      </c>
      <c r="Q64" s="333"/>
    </row>
    <row r="65" spans="2:17" s="330" customFormat="1" ht="13.8" x14ac:dyDescent="0.3">
      <c r="B65" s="331" t="s">
        <v>73</v>
      </c>
      <c r="C65" s="332">
        <f>-(SUMIF(CkReg16_18[Category],"=" &amp;CategoryTable8121014[[#This Row],[Category]],CkReg16_18[Withdrawal]))</f>
        <v>-100</v>
      </c>
      <c r="D65" s="332">
        <v>-200</v>
      </c>
      <c r="E65" s="332">
        <f>-CategoryTable8121014[[#This Row],[Budget]]+CategoryTable8121014[[#This Row],[Actual to date]]</f>
        <v>100</v>
      </c>
      <c r="F65" s="332"/>
      <c r="G65" s="321">
        <v>47204</v>
      </c>
      <c r="H65" s="322">
        <v>42840</v>
      </c>
      <c r="I65" s="307" t="s">
        <v>395</v>
      </c>
      <c r="J65" s="307"/>
      <c r="K65" s="307" t="s">
        <v>32</v>
      </c>
      <c r="L65" s="323"/>
      <c r="M65" s="335">
        <v>50</v>
      </c>
      <c r="N65" s="323">
        <f>IF(ISBLANK(CkReg16_18[[#This Row],[Withdrawal]]),N64+CkReg16_18[[#This Row],[Deposit]],N64-CkReg16_18[[#This Row],[Withdrawal]])</f>
        <v>2866.5180000000096</v>
      </c>
      <c r="O65" s="324">
        <v>42843</v>
      </c>
      <c r="P65" s="323">
        <f>IF(ISBLANK(CkReg16_18[[#This Row],[Withdrawal]]),P64+CkReg16_18[[#This Row],[Deposit]],P64-CkReg16_18[[#This Row],[Withdrawal]])</f>
        <v>12656.518000000009</v>
      </c>
      <c r="Q65" s="333"/>
    </row>
    <row r="66" spans="2:17" s="330" customFormat="1" ht="13.8" x14ac:dyDescent="0.3">
      <c r="B66" s="331" t="s">
        <v>74</v>
      </c>
      <c r="C66" s="332">
        <f>-(SUMIF(CkReg16_18[Category],"=" &amp;CategoryTable8121014[[#This Row],[Category]],CkReg16_18[Withdrawal]))</f>
        <v>-200</v>
      </c>
      <c r="D66" s="332">
        <v>-250</v>
      </c>
      <c r="E66" s="332">
        <f>-CategoryTable8121014[[#This Row],[Budget]]+CategoryTable8121014[[#This Row],[Actual to date]]</f>
        <v>50</v>
      </c>
      <c r="G66" s="321">
        <v>47205</v>
      </c>
      <c r="H66" s="322">
        <v>42840</v>
      </c>
      <c r="I66" s="307" t="s">
        <v>394</v>
      </c>
      <c r="J66" s="307"/>
      <c r="K66" s="307" t="s">
        <v>32</v>
      </c>
      <c r="L66" s="323"/>
      <c r="M66" s="323">
        <v>15</v>
      </c>
      <c r="N66" s="323">
        <f>IF(ISBLANK(CkReg16_18[[#This Row],[Withdrawal]]),N65+CkReg16_18[[#This Row],[Deposit]],N65-CkReg16_18[[#This Row],[Withdrawal]])</f>
        <v>2881.5180000000096</v>
      </c>
      <c r="O66" s="324">
        <v>42843</v>
      </c>
      <c r="P66" s="323">
        <f>IF(ISBLANK(CkReg16_18[[#This Row],[Withdrawal]]),P65+CkReg16_18[[#This Row],[Deposit]],P65-CkReg16_18[[#This Row],[Withdrawal]])</f>
        <v>12671.518000000009</v>
      </c>
      <c r="Q66" s="333"/>
    </row>
    <row r="67" spans="2:17" s="330" customFormat="1" ht="13.8" x14ac:dyDescent="0.3">
      <c r="B67" s="331"/>
      <c r="C67" s="332">
        <f>SUBTOTAL(109,C18:C66)</f>
        <v>339.34600000001569</v>
      </c>
      <c r="D67" s="332">
        <f>SUBTOTAL(109,D18:D66)</f>
        <v>4200</v>
      </c>
      <c r="E67" s="332">
        <f>SUBTOTAL(109,E18:E66)</f>
        <v>-3860.6539999999841</v>
      </c>
      <c r="G67" s="321">
        <v>47206</v>
      </c>
      <c r="H67" s="322">
        <v>42840</v>
      </c>
      <c r="I67" s="307" t="s">
        <v>396</v>
      </c>
      <c r="J67" s="307"/>
      <c r="K67" s="307" t="s">
        <v>32</v>
      </c>
      <c r="L67" s="323"/>
      <c r="M67" s="323">
        <v>60</v>
      </c>
      <c r="N67" s="323">
        <f>IF(ISBLANK(CkReg16_18[[#This Row],[Withdrawal]]),N66+CkReg16_18[[#This Row],[Deposit]],N66-CkReg16_18[[#This Row],[Withdrawal]])</f>
        <v>2941.5180000000096</v>
      </c>
      <c r="O67" s="324">
        <v>42843</v>
      </c>
      <c r="P67" s="323">
        <f>IF(ISBLANK(CkReg16_18[[#This Row],[Withdrawal]]),P66+CkReg16_18[[#This Row],[Deposit]],P66-CkReg16_18[[#This Row],[Withdrawal]])</f>
        <v>12731.518000000009</v>
      </c>
      <c r="Q67" s="333"/>
    </row>
    <row r="68" spans="2:17" s="330" customFormat="1" ht="13.8" x14ac:dyDescent="0.3">
      <c r="B68" s="361"/>
      <c r="C68" s="362">
        <f>SUM(C52:C66)</f>
        <v>1023.1500000000015</v>
      </c>
      <c r="D68" s="362">
        <f>SUM(D52:D66)</f>
        <v>4200</v>
      </c>
      <c r="E68" s="362">
        <f>SUM(E52:E66)</f>
        <v>-3176.8499999999995</v>
      </c>
      <c r="G68" s="321">
        <v>47207</v>
      </c>
      <c r="H68" s="322">
        <v>42840</v>
      </c>
      <c r="I68" s="307" t="s">
        <v>640</v>
      </c>
      <c r="J68" s="307"/>
      <c r="K68" s="307" t="s">
        <v>32</v>
      </c>
      <c r="L68" s="323"/>
      <c r="M68" s="323">
        <v>20</v>
      </c>
      <c r="N68" s="323">
        <f>IF(ISBLANK(CkReg16_18[[#This Row],[Withdrawal]]),N67+CkReg16_18[[#This Row],[Deposit]],N67-CkReg16_18[[#This Row],[Withdrawal]])</f>
        <v>2961.5180000000096</v>
      </c>
      <c r="O68" s="324">
        <v>42843</v>
      </c>
      <c r="P68" s="323">
        <f>IF(ISBLANK(CkReg16_18[[#This Row],[Withdrawal]]),P67+CkReg16_18[[#This Row],[Deposit]],P67-CkReg16_18[[#This Row],[Withdrawal]])</f>
        <v>12751.518000000009</v>
      </c>
      <c r="Q68" s="333"/>
    </row>
    <row r="69" spans="2:17" s="330" customFormat="1" ht="13.8" x14ac:dyDescent="0.3">
      <c r="B69" s="330" t="s">
        <v>721</v>
      </c>
      <c r="C69" s="337"/>
      <c r="D69" s="337"/>
      <c r="E69" s="337"/>
      <c r="G69" s="321">
        <v>47207</v>
      </c>
      <c r="H69" s="322">
        <v>42832</v>
      </c>
      <c r="I69" s="307" t="s">
        <v>716</v>
      </c>
      <c r="J69" s="307" t="s">
        <v>646</v>
      </c>
      <c r="K69" s="307" t="s">
        <v>33</v>
      </c>
      <c r="L69" s="323"/>
      <c r="M69" s="323">
        <v>112.4</v>
      </c>
      <c r="N69" s="323">
        <f>IF(ISBLANK(CkReg16_18[[#This Row],[Withdrawal]]),N68+CkReg16_18[[#This Row],[Deposit]],N68-CkReg16_18[[#This Row],[Withdrawal]])</f>
        <v>3073.9180000000097</v>
      </c>
      <c r="O69" s="324">
        <v>42832</v>
      </c>
      <c r="P69" s="323">
        <f>IF(ISBLANK(CkReg16_18[[#This Row],[Withdrawal]]),P68+CkReg16_18[[#This Row],[Deposit]],P68-CkReg16_18[[#This Row],[Withdrawal]])</f>
        <v>12863.918000000009</v>
      </c>
      <c r="Q69" s="333"/>
    </row>
    <row r="70" spans="2:17" s="330" customFormat="1" ht="13.8" x14ac:dyDescent="0.3">
      <c r="G70" s="321"/>
      <c r="H70" s="322">
        <v>42855</v>
      </c>
      <c r="I70" s="307" t="s">
        <v>434</v>
      </c>
      <c r="J70" s="307" t="s">
        <v>261</v>
      </c>
      <c r="K70" s="307" t="s">
        <v>91</v>
      </c>
      <c r="L70" s="323"/>
      <c r="M70" s="323">
        <v>0.53</v>
      </c>
      <c r="N70" s="323">
        <f>IF(ISBLANK(CkReg16_18[[#This Row],[Withdrawal]]),N69+CkReg16_18[[#This Row],[Deposit]],N69-CkReg16_18[[#This Row],[Withdrawal]])</f>
        <v>3074.4480000000099</v>
      </c>
      <c r="O70" s="324">
        <v>42825</v>
      </c>
      <c r="P70" s="323">
        <f>IF(ISBLANK(CkReg16_18[[#This Row],[Withdrawal]]),P69+CkReg16_18[[#This Row],[Deposit]],P69-CkReg16_18[[#This Row],[Withdrawal]])</f>
        <v>12864.448000000009</v>
      </c>
      <c r="Q70" s="333"/>
    </row>
    <row r="71" spans="2:17" s="338" customFormat="1" ht="13.8" x14ac:dyDescent="0.3">
      <c r="B71" s="330"/>
      <c r="C71" s="330"/>
      <c r="D71" s="337"/>
      <c r="E71" s="330"/>
      <c r="G71" s="339">
        <v>47209</v>
      </c>
      <c r="H71" s="339">
        <v>42864</v>
      </c>
      <c r="I71" s="339" t="s">
        <v>647</v>
      </c>
      <c r="J71" s="339" t="s">
        <v>648</v>
      </c>
      <c r="K71" s="339" t="s">
        <v>571</v>
      </c>
      <c r="L71" s="339"/>
      <c r="M71" s="340">
        <f>271.36-149.53</f>
        <v>121.83000000000001</v>
      </c>
      <c r="N71" s="323">
        <f>IF(ISBLANK(CkReg16_18[[#This Row],[Withdrawal]]),N70+CkReg16_18[[#This Row],[Deposit]],N70-CkReg16_18[[#This Row],[Withdrawal]])</f>
        <v>3196.2780000000098</v>
      </c>
      <c r="O71" s="341">
        <v>43080</v>
      </c>
      <c r="P71" s="323">
        <f>IF(ISBLANK(CkReg16_18[[#This Row],[Withdrawal]]),P70+CkReg16_18[[#This Row],[Deposit]],P70-CkReg16_18[[#This Row],[Withdrawal]])</f>
        <v>12986.278000000009</v>
      </c>
      <c r="Q71" s="342">
        <v>42855</v>
      </c>
    </row>
    <row r="72" spans="2:17" s="338" customFormat="1" ht="13.8" x14ac:dyDescent="0.3">
      <c r="G72" s="339"/>
      <c r="H72" s="339">
        <v>42886</v>
      </c>
      <c r="I72" s="339" t="s">
        <v>434</v>
      </c>
      <c r="J72" s="339" t="s">
        <v>261</v>
      </c>
      <c r="K72" s="339" t="s">
        <v>91</v>
      </c>
      <c r="L72" s="339"/>
      <c r="M72" s="339">
        <v>0.55000000000000004</v>
      </c>
      <c r="N72" s="323">
        <f>IF(ISBLANK(CkReg16_18[[#This Row],[Withdrawal]]),N71+CkReg16_18[[#This Row],[Deposit]],N71-CkReg16_18[[#This Row],[Withdrawal]])</f>
        <v>3196.82800000001</v>
      </c>
      <c r="O72" s="341">
        <v>42886</v>
      </c>
      <c r="P72" s="323">
        <f>IF(ISBLANK(CkReg16_18[[#This Row],[Withdrawal]]),P71+CkReg16_18[[#This Row],[Deposit]],P71-CkReg16_18[[#This Row],[Withdrawal]])</f>
        <v>12986.828000000009</v>
      </c>
      <c r="Q72" s="342">
        <v>42886</v>
      </c>
    </row>
    <row r="73" spans="2:17" s="330" customFormat="1" ht="13.8" x14ac:dyDescent="0.3">
      <c r="B73" s="338"/>
      <c r="C73" s="338"/>
      <c r="D73" s="338"/>
      <c r="E73" s="338"/>
      <c r="G73" s="321">
        <v>3118</v>
      </c>
      <c r="H73" s="322">
        <v>42889</v>
      </c>
      <c r="I73" s="307" t="s">
        <v>362</v>
      </c>
      <c r="J73" s="307" t="s">
        <v>39</v>
      </c>
      <c r="K73" s="307" t="s">
        <v>39</v>
      </c>
      <c r="L73" s="323">
        <v>60.13</v>
      </c>
      <c r="M73" s="323"/>
      <c r="N73" s="323">
        <f>IF(ISBLANK(CkReg16_18[[#This Row],[Withdrawal]]),N72+CkReg16_18[[#This Row],[Deposit]],N72-CkReg16_18[[#This Row],[Withdrawal]])</f>
        <v>3136.6980000000099</v>
      </c>
      <c r="O73" s="324">
        <v>42902</v>
      </c>
      <c r="P73" s="323">
        <f>IF(ISBLANK(CkReg16_18[[#This Row],[Withdrawal]]),P72+CkReg16_18[[#This Row],[Deposit]],P72-CkReg16_18[[#This Row],[Withdrawal]])</f>
        <v>12926.698000000009</v>
      </c>
      <c r="Q73" s="333"/>
    </row>
    <row r="74" spans="2:17" s="330" customFormat="1" ht="13.8" x14ac:dyDescent="0.3">
      <c r="G74" s="321">
        <v>3119</v>
      </c>
      <c r="H74" s="322">
        <v>42889</v>
      </c>
      <c r="I74" s="307" t="s">
        <v>156</v>
      </c>
      <c r="J74" s="307" t="s">
        <v>649</v>
      </c>
      <c r="K74" s="307" t="s">
        <v>67</v>
      </c>
      <c r="L74" s="323">
        <v>74.19</v>
      </c>
      <c r="M74" s="323"/>
      <c r="N74" s="323">
        <f>IF(ISBLANK(CkReg16_18[[#This Row],[Withdrawal]]),N73+CkReg16_18[[#This Row],[Deposit]],N73-CkReg16_18[[#This Row],[Withdrawal]])</f>
        <v>3062.5080000000098</v>
      </c>
      <c r="O74" s="324">
        <v>42955</v>
      </c>
      <c r="P74" s="323">
        <f>IF(ISBLANK(CkReg16_18[[#This Row],[Withdrawal]]),P73+CkReg16_18[[#This Row],[Deposit]],P73-CkReg16_18[[#This Row],[Withdrawal]])</f>
        <v>12852.508000000009</v>
      </c>
      <c r="Q74" s="333"/>
    </row>
    <row r="75" spans="2:17" s="330" customFormat="1" ht="13.8" x14ac:dyDescent="0.3">
      <c r="G75" s="321">
        <v>3120</v>
      </c>
      <c r="H75" s="322">
        <v>42889</v>
      </c>
      <c r="I75" s="307" t="s">
        <v>630</v>
      </c>
      <c r="J75" s="307"/>
      <c r="K75" s="307" t="s">
        <v>52</v>
      </c>
      <c r="L75" s="323">
        <v>13</v>
      </c>
      <c r="M75" s="323"/>
      <c r="N75" s="323">
        <f>IF(ISBLANK(CkReg16_18[[#This Row],[Withdrawal]]),N74+CkReg16_18[[#This Row],[Deposit]],N74-CkReg16_18[[#This Row],[Withdrawal]])</f>
        <v>3049.5080000000098</v>
      </c>
      <c r="O75" s="324">
        <v>42894</v>
      </c>
      <c r="P75" s="323">
        <f>IF(ISBLANK(CkReg16_18[[#This Row],[Withdrawal]]),P74+CkReg16_18[[#This Row],[Deposit]],P74-CkReg16_18[[#This Row],[Withdrawal]])</f>
        <v>12839.508000000009</v>
      </c>
      <c r="Q75" s="333"/>
    </row>
    <row r="76" spans="2:17" s="330" customFormat="1" ht="13.8" x14ac:dyDescent="0.3">
      <c r="G76" s="321">
        <v>3120</v>
      </c>
      <c r="H76" s="322">
        <v>42889</v>
      </c>
      <c r="I76" s="307" t="s">
        <v>630</v>
      </c>
      <c r="J76" s="307"/>
      <c r="K76" s="307" t="s">
        <v>47</v>
      </c>
      <c r="L76" s="323">
        <v>10.29</v>
      </c>
      <c r="M76" s="323"/>
      <c r="N76" s="323">
        <f>IF(ISBLANK(CkReg16_18[[#This Row],[Withdrawal]]),N75+CkReg16_18[[#This Row],[Deposit]],N75-CkReg16_18[[#This Row],[Withdrawal]])</f>
        <v>3039.2180000000099</v>
      </c>
      <c r="O76" s="324">
        <v>42894</v>
      </c>
      <c r="P76" s="323">
        <f>IF(ISBLANK(CkReg16_18[[#This Row],[Withdrawal]]),P75+CkReg16_18[[#This Row],[Deposit]],P75-CkReg16_18[[#This Row],[Withdrawal]])</f>
        <v>12829.218000000008</v>
      </c>
      <c r="Q76" s="333"/>
    </row>
    <row r="77" spans="2:17" s="330" customFormat="1" ht="13.8" x14ac:dyDescent="0.3">
      <c r="G77" s="321">
        <v>3151</v>
      </c>
      <c r="H77" s="322">
        <v>42889</v>
      </c>
      <c r="I77" s="307" t="s">
        <v>92</v>
      </c>
      <c r="J77" s="307"/>
      <c r="K77" s="307" t="s">
        <v>43</v>
      </c>
      <c r="L77" s="323">
        <v>75</v>
      </c>
      <c r="M77" s="323"/>
      <c r="N77" s="323">
        <f>IF(ISBLANK(CkReg16_18[[#This Row],[Withdrawal]]),N76+CkReg16_18[[#This Row],[Deposit]],N76-CkReg16_18[[#This Row],[Withdrawal]])</f>
        <v>2964.2180000000099</v>
      </c>
      <c r="O77" s="324">
        <v>42534</v>
      </c>
      <c r="P77" s="323">
        <f>IF(ISBLANK(CkReg16_18[[#This Row],[Withdrawal]]),P76+CkReg16_18[[#This Row],[Deposit]],P76-CkReg16_18[[#This Row],[Withdrawal]])</f>
        <v>12754.218000000008</v>
      </c>
      <c r="Q77" s="333"/>
    </row>
    <row r="78" spans="2:17" s="330" customFormat="1" ht="13.8" x14ac:dyDescent="0.3">
      <c r="G78" s="321">
        <v>3153</v>
      </c>
      <c r="H78" s="322">
        <v>42889</v>
      </c>
      <c r="I78" s="307" t="s">
        <v>650</v>
      </c>
      <c r="J78" s="307" t="s">
        <v>651</v>
      </c>
      <c r="K78" s="307" t="s">
        <v>44</v>
      </c>
      <c r="L78" s="323">
        <v>500</v>
      </c>
      <c r="M78" s="323"/>
      <c r="N78" s="323">
        <f>IF(ISBLANK(CkReg16_18[[#This Row],[Withdrawal]]),N77+CkReg16_18[[#This Row],[Deposit]],N77-CkReg16_18[[#This Row],[Withdrawal]])</f>
        <v>2464.2180000000099</v>
      </c>
      <c r="O78" s="324">
        <v>42891</v>
      </c>
      <c r="P78" s="323">
        <f>IF(ISBLANK(CkReg16_18[[#This Row],[Withdrawal]]),P77+CkReg16_18[[#This Row],[Deposit]],P77-CkReg16_18[[#This Row],[Withdrawal]])</f>
        <v>12254.218000000008</v>
      </c>
      <c r="Q78" s="333"/>
    </row>
    <row r="79" spans="2:17" s="330" customFormat="1" ht="13.8" x14ac:dyDescent="0.3">
      <c r="G79" s="321">
        <v>47210</v>
      </c>
      <c r="H79" s="322">
        <v>42889</v>
      </c>
      <c r="I79" s="307" t="s">
        <v>396</v>
      </c>
      <c r="J79" s="307"/>
      <c r="K79" s="307" t="s">
        <v>32</v>
      </c>
      <c r="L79" s="323"/>
      <c r="M79" s="323">
        <v>40</v>
      </c>
      <c r="N79" s="323">
        <f>IF(ISBLANK(CkReg16_18[[#This Row],[Withdrawal]]),N78+CkReg16_18[[#This Row],[Deposit]],N78-CkReg16_18[[#This Row],[Withdrawal]])</f>
        <v>2504.2180000000099</v>
      </c>
      <c r="O79" s="324">
        <v>42891</v>
      </c>
      <c r="P79" s="323">
        <f>IF(ISBLANK(CkReg16_18[[#This Row],[Withdrawal]]),P78+CkReg16_18[[#This Row],[Deposit]],P78-CkReg16_18[[#This Row],[Withdrawal]])</f>
        <v>12294.218000000008</v>
      </c>
      <c r="Q79" s="333"/>
    </row>
    <row r="80" spans="2:17" s="330" customFormat="1" ht="13.8" x14ac:dyDescent="0.3">
      <c r="G80" s="321">
        <f t="shared" ref="G80:G86" si="1">1+G79</f>
        <v>47211</v>
      </c>
      <c r="H80" s="322">
        <v>42889</v>
      </c>
      <c r="I80" s="307" t="s">
        <v>591</v>
      </c>
      <c r="J80" s="307"/>
      <c r="K80" s="307" t="s">
        <v>32</v>
      </c>
      <c r="L80" s="323"/>
      <c r="M80" s="323">
        <v>50</v>
      </c>
      <c r="N80" s="323">
        <f>IF(ISBLANK(CkReg16_18[[#This Row],[Withdrawal]]),N79+CkReg16_18[[#This Row],[Deposit]],N79-CkReg16_18[[#This Row],[Withdrawal]])</f>
        <v>2554.2180000000099</v>
      </c>
      <c r="O80" s="324">
        <v>42891</v>
      </c>
      <c r="P80" s="323">
        <f>IF(ISBLANK(CkReg16_18[[#This Row],[Withdrawal]]),P79+CkReg16_18[[#This Row],[Deposit]],P79-CkReg16_18[[#This Row],[Withdrawal]])</f>
        <v>12344.218000000008</v>
      </c>
      <c r="Q80" s="333"/>
    </row>
    <row r="81" spans="2:17" s="330" customFormat="1" ht="13.8" x14ac:dyDescent="0.3">
      <c r="G81" s="321">
        <f t="shared" si="1"/>
        <v>47212</v>
      </c>
      <c r="H81" s="322">
        <v>42889</v>
      </c>
      <c r="I81" s="307" t="s">
        <v>640</v>
      </c>
      <c r="J81" s="307"/>
      <c r="K81" s="307" t="s">
        <v>32</v>
      </c>
      <c r="L81" s="323"/>
      <c r="M81" s="323">
        <v>20</v>
      </c>
      <c r="N81" s="323">
        <f>IF(ISBLANK(CkReg16_18[[#This Row],[Withdrawal]]),N80+CkReg16_18[[#This Row],[Deposit]],N80-CkReg16_18[[#This Row],[Withdrawal]])</f>
        <v>2574.2180000000099</v>
      </c>
      <c r="O81" s="324">
        <v>42891</v>
      </c>
      <c r="P81" s="323">
        <f>IF(ISBLANK(CkReg16_18[[#This Row],[Withdrawal]]),P80+CkReg16_18[[#This Row],[Deposit]],P80-CkReg16_18[[#This Row],[Withdrawal]])</f>
        <v>12364.218000000008</v>
      </c>
      <c r="Q81" s="333"/>
    </row>
    <row r="82" spans="2:17" s="330" customFormat="1" ht="13.8" x14ac:dyDescent="0.3">
      <c r="G82" s="321">
        <f t="shared" si="1"/>
        <v>47213</v>
      </c>
      <c r="H82" s="322">
        <v>42889</v>
      </c>
      <c r="I82" s="307" t="s">
        <v>392</v>
      </c>
      <c r="J82" s="307"/>
      <c r="K82" s="307" t="s">
        <v>32</v>
      </c>
      <c r="L82" s="323"/>
      <c r="M82" s="323">
        <v>50</v>
      </c>
      <c r="N82" s="323">
        <f>IF(ISBLANK(CkReg16_18[[#This Row],[Withdrawal]]),N81+CkReg16_18[[#This Row],[Deposit]],N81-CkReg16_18[[#This Row],[Withdrawal]])</f>
        <v>2624.2180000000099</v>
      </c>
      <c r="O82" s="324">
        <v>42891</v>
      </c>
      <c r="P82" s="323">
        <f>IF(ISBLANK(CkReg16_18[[#This Row],[Withdrawal]]),P81+CkReg16_18[[#This Row],[Deposit]],P81-CkReg16_18[[#This Row],[Withdrawal]])</f>
        <v>12414.218000000008</v>
      </c>
      <c r="Q82" s="333"/>
    </row>
    <row r="83" spans="2:17" s="330" customFormat="1" ht="13.8" x14ac:dyDescent="0.3">
      <c r="G83" s="321">
        <f t="shared" si="1"/>
        <v>47214</v>
      </c>
      <c r="H83" s="322">
        <v>42889</v>
      </c>
      <c r="I83" s="307" t="s">
        <v>638</v>
      </c>
      <c r="J83" s="307"/>
      <c r="K83" s="307" t="s">
        <v>32</v>
      </c>
      <c r="L83" s="323"/>
      <c r="M83" s="323">
        <v>20</v>
      </c>
      <c r="N83" s="323">
        <f>IF(ISBLANK(CkReg16_18[[#This Row],[Withdrawal]]),N82+CkReg16_18[[#This Row],[Deposit]],N82-CkReg16_18[[#This Row],[Withdrawal]])</f>
        <v>2644.2180000000099</v>
      </c>
      <c r="O83" s="324">
        <v>42891</v>
      </c>
      <c r="P83" s="323">
        <f>IF(ISBLANK(CkReg16_18[[#This Row],[Withdrawal]]),P82+CkReg16_18[[#This Row],[Deposit]],P82-CkReg16_18[[#This Row],[Withdrawal]])</f>
        <v>12434.218000000008</v>
      </c>
      <c r="Q83" s="333"/>
    </row>
    <row r="84" spans="2:17" s="330" customFormat="1" ht="13.8" x14ac:dyDescent="0.3">
      <c r="G84" s="321">
        <f t="shared" si="1"/>
        <v>47215</v>
      </c>
      <c r="H84" s="322">
        <v>42889</v>
      </c>
      <c r="I84" s="307" t="s">
        <v>394</v>
      </c>
      <c r="J84" s="307"/>
      <c r="K84" s="307" t="s">
        <v>32</v>
      </c>
      <c r="L84" s="323"/>
      <c r="M84" s="323">
        <v>10</v>
      </c>
      <c r="N84" s="323">
        <f>IF(ISBLANK(CkReg16_18[[#This Row],[Withdrawal]]),N83+CkReg16_18[[#This Row],[Deposit]],N83-CkReg16_18[[#This Row],[Withdrawal]])</f>
        <v>2654.2180000000099</v>
      </c>
      <c r="O84" s="324">
        <v>42891</v>
      </c>
      <c r="P84" s="323">
        <f>IF(ISBLANK(CkReg16_18[[#This Row],[Withdrawal]]),P83+CkReg16_18[[#This Row],[Deposit]],P83-CkReg16_18[[#This Row],[Withdrawal]])</f>
        <v>12444.218000000008</v>
      </c>
      <c r="Q84" s="333"/>
    </row>
    <row r="85" spans="2:17" s="330" customFormat="1" ht="13.8" x14ac:dyDescent="0.3">
      <c r="G85" s="321">
        <f t="shared" si="1"/>
        <v>47216</v>
      </c>
      <c r="H85" s="322">
        <v>42889</v>
      </c>
      <c r="I85" s="307" t="s">
        <v>395</v>
      </c>
      <c r="J85" s="307"/>
      <c r="K85" s="307" t="s">
        <v>32</v>
      </c>
      <c r="L85" s="323"/>
      <c r="M85" s="323">
        <v>30</v>
      </c>
      <c r="N85" s="323">
        <f>IF(ISBLANK(CkReg16_18[[#This Row],[Withdrawal]]),N84+CkReg16_18[[#This Row],[Deposit]],N84-CkReg16_18[[#This Row],[Withdrawal]])</f>
        <v>2684.2180000000099</v>
      </c>
      <c r="O85" s="324">
        <v>42891</v>
      </c>
      <c r="P85" s="323">
        <f>IF(ISBLANK(CkReg16_18[[#This Row],[Withdrawal]]),P84+CkReg16_18[[#This Row],[Deposit]],P84-CkReg16_18[[#This Row],[Withdrawal]])</f>
        <v>12474.218000000008</v>
      </c>
      <c r="Q85" s="333"/>
    </row>
    <row r="86" spans="2:17" s="330" customFormat="1" ht="13.8" x14ac:dyDescent="0.3">
      <c r="G86" s="321">
        <f t="shared" si="1"/>
        <v>47217</v>
      </c>
      <c r="H86" s="322">
        <v>42889</v>
      </c>
      <c r="I86" s="307" t="s">
        <v>652</v>
      </c>
      <c r="J86" s="307"/>
      <c r="K86" s="307" t="s">
        <v>32</v>
      </c>
      <c r="L86" s="323"/>
      <c r="M86" s="323">
        <v>20</v>
      </c>
      <c r="N86" s="323">
        <f>IF(ISBLANK(CkReg16_18[[#This Row],[Withdrawal]]),N85+CkReg16_18[[#This Row],[Deposit]],N85-CkReg16_18[[#This Row],[Withdrawal]])</f>
        <v>2704.2180000000099</v>
      </c>
      <c r="O86" s="324">
        <v>42891</v>
      </c>
      <c r="P86" s="323">
        <f>IF(ISBLANK(CkReg16_18[[#This Row],[Withdrawal]]),P85+CkReg16_18[[#This Row],[Deposit]],P85-CkReg16_18[[#This Row],[Withdrawal]])</f>
        <v>12494.218000000008</v>
      </c>
      <c r="Q86" s="333"/>
    </row>
    <row r="87" spans="2:17" s="330" customFormat="1" ht="13.8" x14ac:dyDescent="0.3">
      <c r="G87" s="321"/>
      <c r="H87" s="322">
        <v>42889</v>
      </c>
      <c r="I87" s="307" t="s">
        <v>655</v>
      </c>
      <c r="J87" s="307"/>
      <c r="K87" s="307" t="s">
        <v>32</v>
      </c>
      <c r="L87" s="323"/>
      <c r="M87" s="335">
        <v>5</v>
      </c>
      <c r="N87" s="323">
        <f>IF(ISBLANK(CkReg16_18[[#This Row],[Withdrawal]]),N86+CkReg16_18[[#This Row],[Deposit]],N86-CkReg16_18[[#This Row],[Withdrawal]])</f>
        <v>2709.2180000000099</v>
      </c>
      <c r="O87" s="324">
        <v>42891</v>
      </c>
      <c r="P87" s="323">
        <f>IF(ISBLANK(CkReg16_18[[#This Row],[Withdrawal]]),P86+CkReg16_18[[#This Row],[Deposit]],P86-CkReg16_18[[#This Row],[Withdrawal]])</f>
        <v>12499.218000000008</v>
      </c>
      <c r="Q87" s="333"/>
    </row>
    <row r="88" spans="2:17" s="330" customFormat="1" ht="13.8" x14ac:dyDescent="0.3">
      <c r="G88" s="321">
        <f>1+G86</f>
        <v>47218</v>
      </c>
      <c r="H88" s="322">
        <v>42896</v>
      </c>
      <c r="I88" s="307" t="s">
        <v>650</v>
      </c>
      <c r="J88" s="307" t="s">
        <v>651</v>
      </c>
      <c r="K88" s="307" t="s">
        <v>44</v>
      </c>
      <c r="L88" s="323">
        <v>-493</v>
      </c>
      <c r="M88" s="323" t="s">
        <v>142</v>
      </c>
      <c r="N88" s="323">
        <f>IF(ISBLANK(CkReg16_18[[#This Row],[Withdrawal]]),N87+CkReg16_18[[#This Row],[Deposit]],N87-CkReg16_18[[#This Row],[Withdrawal]])</f>
        <v>3202.2180000000099</v>
      </c>
      <c r="O88" s="324">
        <v>42975</v>
      </c>
      <c r="P88" s="323">
        <f>IF(ISBLANK(CkReg16_18[[#This Row],[Withdrawal]]),P87+CkReg16_18[[#This Row],[Deposit]],P87-CkReg16_18[[#This Row],[Withdrawal]])</f>
        <v>12992.218000000008</v>
      </c>
      <c r="Q88" s="333"/>
    </row>
    <row r="89" spans="2:17" s="330" customFormat="1" ht="13.8" x14ac:dyDescent="0.3">
      <c r="G89" s="321">
        <f>1+G88</f>
        <v>47219</v>
      </c>
      <c r="H89" s="322">
        <v>42902</v>
      </c>
      <c r="I89" s="307" t="s">
        <v>653</v>
      </c>
      <c r="J89" s="307" t="s">
        <v>654</v>
      </c>
      <c r="K89" s="307" t="s">
        <v>590</v>
      </c>
      <c r="L89" s="323">
        <v>-98</v>
      </c>
      <c r="M89" s="323" t="s">
        <v>142</v>
      </c>
      <c r="N89" s="323">
        <f>IF(ISBLANK(CkReg16_18[[#This Row],[Withdrawal]]),N88+CkReg16_18[[#This Row],[Deposit]],N88-CkReg16_18[[#This Row],[Withdrawal]])</f>
        <v>3300.2180000000099</v>
      </c>
      <c r="O89" s="324">
        <v>42975</v>
      </c>
      <c r="P89" s="323">
        <f>IF(ISBLANK(CkReg16_18[[#This Row],[Withdrawal]]),P88+CkReg16_18[[#This Row],[Deposit]],P88-CkReg16_18[[#This Row],[Withdrawal]])</f>
        <v>13090.218000000008</v>
      </c>
      <c r="Q89" s="333"/>
    </row>
    <row r="90" spans="2:17" s="338" customFormat="1" ht="13.8" x14ac:dyDescent="0.3">
      <c r="B90" s="330"/>
      <c r="C90" s="330"/>
      <c r="D90" s="330"/>
      <c r="E90" s="330"/>
      <c r="G90" s="339"/>
      <c r="H90" s="339">
        <v>42916</v>
      </c>
      <c r="I90" s="339" t="s">
        <v>434</v>
      </c>
      <c r="J90" s="339"/>
      <c r="K90" s="339" t="s">
        <v>91</v>
      </c>
      <c r="L90" s="339"/>
      <c r="M90" s="339">
        <v>0.51</v>
      </c>
      <c r="N90" s="323">
        <f>IF(ISBLANK(CkReg16_18[[#This Row],[Withdrawal]]),N89+CkReg16_18[[#This Row],[Deposit]],N89-CkReg16_18[[#This Row],[Withdrawal]])</f>
        <v>3300.7280000000101</v>
      </c>
      <c r="O90" s="341">
        <v>42916</v>
      </c>
      <c r="P90" s="323">
        <f>IF(ISBLANK(CkReg16_18[[#This Row],[Withdrawal]]),P89+CkReg16_18[[#This Row],[Deposit]],P89-CkReg16_18[[#This Row],[Withdrawal]])</f>
        <v>13090.728000000008</v>
      </c>
      <c r="Q90" s="342">
        <v>42916</v>
      </c>
    </row>
    <row r="91" spans="2:17" s="330" customFormat="1" ht="13.8" x14ac:dyDescent="0.3">
      <c r="B91" s="338"/>
      <c r="C91" s="338"/>
      <c r="D91" s="338"/>
      <c r="E91" s="338"/>
      <c r="G91" s="321">
        <v>3115</v>
      </c>
      <c r="H91" s="322">
        <v>42822</v>
      </c>
      <c r="I91" s="307" t="s">
        <v>705</v>
      </c>
      <c r="J91" s="307" t="s">
        <v>636</v>
      </c>
      <c r="K91" s="307" t="s">
        <v>43</v>
      </c>
      <c r="L91" s="323">
        <v>-100</v>
      </c>
      <c r="M91" s="335"/>
      <c r="N91" s="323">
        <f>IF(ISBLANK(CkReg16_18[[#This Row],[Withdrawal]]),N90+CkReg16_18[[#This Row],[Deposit]],N90-CkReg16_18[[#This Row],[Withdrawal]])</f>
        <v>3400.7280000000101</v>
      </c>
      <c r="O91" s="324">
        <v>42947</v>
      </c>
      <c r="P91" s="323">
        <f>IF(ISBLANK(CkReg16_18[[#This Row],[Withdrawal]]),P90+CkReg16_18[[#This Row],[Deposit]],P90-CkReg16_18[[#This Row],[Withdrawal]])</f>
        <v>13190.728000000008</v>
      </c>
      <c r="Q91" s="333"/>
    </row>
    <row r="92" spans="2:17" s="338" customFormat="1" ht="13.8" x14ac:dyDescent="0.3">
      <c r="B92" s="330"/>
      <c r="C92" s="330"/>
      <c r="D92" s="330"/>
      <c r="E92" s="330"/>
      <c r="G92" s="339"/>
      <c r="H92" s="339">
        <v>42947</v>
      </c>
      <c r="I92" s="339" t="s">
        <v>434</v>
      </c>
      <c r="J92" s="339"/>
      <c r="K92" s="339" t="s">
        <v>91</v>
      </c>
      <c r="L92" s="339"/>
      <c r="M92" s="339">
        <v>0.53</v>
      </c>
      <c r="N92" s="323">
        <f>IF(ISBLANK(CkReg16_18[[#This Row],[Withdrawal]]),N91+CkReg16_18[[#This Row],[Deposit]],N91-CkReg16_18[[#This Row],[Withdrawal]])</f>
        <v>3401.2580000000103</v>
      </c>
      <c r="O92" s="341">
        <v>42947</v>
      </c>
      <c r="P92" s="323">
        <f>IF(ISBLANK(CkReg16_18[[#This Row],[Withdrawal]]),P91+CkReg16_18[[#This Row],[Deposit]],P91-CkReg16_18[[#This Row],[Withdrawal]])</f>
        <v>13191.258000000009</v>
      </c>
      <c r="Q92" s="342">
        <v>42947</v>
      </c>
    </row>
    <row r="93" spans="2:17" s="330" customFormat="1" ht="13.8" x14ac:dyDescent="0.3">
      <c r="B93" s="338"/>
      <c r="C93" s="338"/>
      <c r="D93" s="338"/>
      <c r="E93" s="338"/>
      <c r="G93" s="321">
        <v>3152</v>
      </c>
      <c r="H93" s="322">
        <v>43011</v>
      </c>
      <c r="I93" s="307" t="s">
        <v>79</v>
      </c>
      <c r="J93" s="307"/>
      <c r="K93" s="307" t="s">
        <v>572</v>
      </c>
      <c r="L93" s="323">
        <v>128.36000000000001</v>
      </c>
      <c r="M93" s="323"/>
      <c r="N93" s="323">
        <f>IF(ISBLANK(CkReg16_18[[#This Row],[Withdrawal]]),N92+CkReg16_18[[#This Row],[Deposit]],N92-CkReg16_18[[#This Row],[Withdrawal]])</f>
        <v>3272.8980000000101</v>
      </c>
      <c r="O93" s="324">
        <v>43018</v>
      </c>
      <c r="P93" s="323">
        <f>IF(ISBLANK(CkReg16_18[[#This Row],[Withdrawal]]),P92+CkReg16_18[[#This Row],[Deposit]],P92-CkReg16_18[[#This Row],[Withdrawal]])</f>
        <v>13062.898000000008</v>
      </c>
      <c r="Q93" s="333"/>
    </row>
    <row r="94" spans="2:17" s="330" customFormat="1" ht="13.8" x14ac:dyDescent="0.3">
      <c r="G94" s="321">
        <v>3152</v>
      </c>
      <c r="H94" s="322">
        <v>43011</v>
      </c>
      <c r="I94" s="307" t="s">
        <v>719</v>
      </c>
      <c r="J94" s="307" t="s">
        <v>685</v>
      </c>
      <c r="K94" s="307" t="s">
        <v>704</v>
      </c>
      <c r="L94" s="323">
        <v>175.27</v>
      </c>
      <c r="M94" s="335">
        <f>+'Check Register 2015'!M266</f>
        <v>0</v>
      </c>
      <c r="N94" s="323">
        <f>IF(ISBLANK(CkReg16_18[[#This Row],[Withdrawal]]),N93+CkReg16_18[[#This Row],[Deposit]],N93-CkReg16_18[[#This Row],[Withdrawal]])</f>
        <v>3097.6280000000102</v>
      </c>
      <c r="O94" s="324">
        <v>43018</v>
      </c>
      <c r="P94" s="323">
        <f>IF(ISBLANK(CkReg16_18[[#This Row],[Withdrawal]]),P93+CkReg16_18[[#This Row],[Deposit]],P93-CkReg16_18[[#This Row],[Withdrawal]])</f>
        <v>12887.628000000008</v>
      </c>
      <c r="Q94" s="333"/>
    </row>
    <row r="95" spans="2:17" s="330" customFormat="1" ht="13.8" x14ac:dyDescent="0.3">
      <c r="G95" s="321">
        <v>3154</v>
      </c>
      <c r="H95" s="322">
        <v>42953</v>
      </c>
      <c r="I95" s="307" t="s">
        <v>362</v>
      </c>
      <c r="J95" s="307"/>
      <c r="K95" s="307" t="s">
        <v>39</v>
      </c>
      <c r="L95" s="323">
        <v>60.13</v>
      </c>
      <c r="M95" s="323"/>
      <c r="N95" s="323">
        <f>IF(ISBLANK(CkReg16_18[[#This Row],[Withdrawal]]),N94+CkReg16_18[[#This Row],[Deposit]],N94-CkReg16_18[[#This Row],[Withdrawal]])</f>
        <v>3037.4980000000101</v>
      </c>
      <c r="O95" s="324">
        <v>42963</v>
      </c>
      <c r="P95" s="323">
        <f>IF(ISBLANK(CkReg16_18[[#This Row],[Withdrawal]]),P94+CkReg16_18[[#This Row],[Deposit]],P94-CkReg16_18[[#This Row],[Withdrawal]])</f>
        <v>12827.498000000009</v>
      </c>
      <c r="Q95" s="333"/>
    </row>
    <row r="96" spans="2:17" s="330" customFormat="1" ht="13.8" x14ac:dyDescent="0.3">
      <c r="G96" s="321">
        <v>3154</v>
      </c>
      <c r="H96" s="322">
        <v>42953</v>
      </c>
      <c r="I96" s="307" t="s">
        <v>362</v>
      </c>
      <c r="J96" s="307" t="s">
        <v>656</v>
      </c>
      <c r="K96" s="307" t="s">
        <v>70</v>
      </c>
      <c r="L96" s="323">
        <v>124.64</v>
      </c>
      <c r="M96" s="323"/>
      <c r="N96" s="323">
        <f>IF(ISBLANK(CkReg16_18[[#This Row],[Withdrawal]]),N95+CkReg16_18[[#This Row],[Deposit]],N95-CkReg16_18[[#This Row],[Withdrawal]])</f>
        <v>2912.8580000000102</v>
      </c>
      <c r="O96" s="324">
        <v>42963</v>
      </c>
      <c r="P96" s="323">
        <f>IF(ISBLANK(CkReg16_18[[#This Row],[Withdrawal]]),P95+CkReg16_18[[#This Row],[Deposit]],P95-CkReg16_18[[#This Row],[Withdrawal]])</f>
        <v>12702.858000000009</v>
      </c>
      <c r="Q96" s="333"/>
    </row>
    <row r="97" spans="7:17" s="330" customFormat="1" ht="13.8" x14ac:dyDescent="0.3">
      <c r="G97" s="321">
        <v>3154</v>
      </c>
      <c r="H97" s="322">
        <v>42953</v>
      </c>
      <c r="I97" s="307" t="s">
        <v>362</v>
      </c>
      <c r="J97" s="307" t="s">
        <v>657</v>
      </c>
      <c r="K97" s="307" t="s">
        <v>70</v>
      </c>
      <c r="L97" s="323">
        <v>13.08</v>
      </c>
      <c r="M97" s="323"/>
      <c r="N97" s="323">
        <f>IF(ISBLANK(CkReg16_18[[#This Row],[Withdrawal]]),N96+CkReg16_18[[#This Row],[Deposit]],N96-CkReg16_18[[#This Row],[Withdrawal]])</f>
        <v>2899.7780000000103</v>
      </c>
      <c r="O97" s="324">
        <v>42963</v>
      </c>
      <c r="P97" s="323">
        <f>IF(ISBLANK(CkReg16_18[[#This Row],[Withdrawal]]),P96+CkReg16_18[[#This Row],[Deposit]],P96-CkReg16_18[[#This Row],[Withdrawal]])</f>
        <v>12689.778000000009</v>
      </c>
      <c r="Q97" s="333"/>
    </row>
    <row r="98" spans="7:17" s="330" customFormat="1" ht="13.8" x14ac:dyDescent="0.3">
      <c r="G98" s="321">
        <v>3155</v>
      </c>
      <c r="H98" s="322">
        <v>42951</v>
      </c>
      <c r="I98" s="307" t="s">
        <v>92</v>
      </c>
      <c r="J98" s="307" t="s">
        <v>658</v>
      </c>
      <c r="K98" s="307" t="s">
        <v>43</v>
      </c>
      <c r="L98" s="323">
        <v>75</v>
      </c>
      <c r="M98" s="323"/>
      <c r="N98" s="323">
        <f>IF(ISBLANK(CkReg16_18[[#This Row],[Withdrawal]]),N97+CkReg16_18[[#This Row],[Deposit]],N97-CkReg16_18[[#This Row],[Withdrawal]])</f>
        <v>2824.7780000000103</v>
      </c>
      <c r="O98" s="324">
        <v>42962</v>
      </c>
      <c r="P98" s="323">
        <f>IF(ISBLANK(CkReg16_18[[#This Row],[Withdrawal]]),P97+CkReg16_18[[#This Row],[Deposit]],P97-CkReg16_18[[#This Row],[Withdrawal]])</f>
        <v>12614.778000000009</v>
      </c>
      <c r="Q98" s="333"/>
    </row>
    <row r="99" spans="7:17" s="330" customFormat="1" ht="13.8" x14ac:dyDescent="0.3">
      <c r="G99" s="321">
        <v>3156</v>
      </c>
      <c r="H99" s="322">
        <v>42952</v>
      </c>
      <c r="I99" s="307" t="s">
        <v>659</v>
      </c>
      <c r="J99" s="307" t="s">
        <v>660</v>
      </c>
      <c r="K99" s="307" t="s">
        <v>66</v>
      </c>
      <c r="L99" s="323">
        <v>500</v>
      </c>
      <c r="M99" s="323"/>
      <c r="N99" s="323">
        <f>IF(ISBLANK(CkReg16_18[[#This Row],[Withdrawal]]),N98+CkReg16_18[[#This Row],[Deposit]],N98-CkReg16_18[[#This Row],[Withdrawal]])</f>
        <v>2324.7780000000103</v>
      </c>
      <c r="O99" s="324">
        <v>42961</v>
      </c>
      <c r="P99" s="323">
        <f>IF(ISBLANK(CkReg16_18[[#This Row],[Withdrawal]]),P98+CkReg16_18[[#This Row],[Deposit]],P98-CkReg16_18[[#This Row],[Withdrawal]])</f>
        <v>12114.778000000009</v>
      </c>
      <c r="Q99" s="333"/>
    </row>
    <row r="100" spans="7:17" s="330" customFormat="1" ht="13.8" x14ac:dyDescent="0.3">
      <c r="G100" s="321">
        <v>3157</v>
      </c>
      <c r="H100" s="322">
        <v>42952</v>
      </c>
      <c r="I100" s="307" t="s">
        <v>156</v>
      </c>
      <c r="J100" s="307" t="s">
        <v>661</v>
      </c>
      <c r="K100" s="307" t="s">
        <v>67</v>
      </c>
      <c r="L100" s="323">
        <v>160.80000000000001</v>
      </c>
      <c r="M100" s="323"/>
      <c r="N100" s="323">
        <f>IF(ISBLANK(CkReg16_18[[#This Row],[Withdrawal]]),N99+CkReg16_18[[#This Row],[Deposit]],N99-CkReg16_18[[#This Row],[Withdrawal]])</f>
        <v>2163.9780000000101</v>
      </c>
      <c r="O100" s="324">
        <v>42965</v>
      </c>
      <c r="P100" s="323">
        <f>IF(ISBLANK(CkReg16_18[[#This Row],[Withdrawal]]),P99+CkReg16_18[[#This Row],[Deposit]],P99-CkReg16_18[[#This Row],[Withdrawal]])</f>
        <v>11953.97800000001</v>
      </c>
      <c r="Q100" s="333"/>
    </row>
    <row r="101" spans="7:17" s="330" customFormat="1" ht="13.8" x14ac:dyDescent="0.3">
      <c r="G101" s="321">
        <v>3158</v>
      </c>
      <c r="H101" s="322">
        <v>42952</v>
      </c>
      <c r="I101" s="307" t="s">
        <v>630</v>
      </c>
      <c r="J101" s="307" t="s">
        <v>662</v>
      </c>
      <c r="K101" s="307" t="s">
        <v>52</v>
      </c>
      <c r="L101" s="323">
        <v>6.4</v>
      </c>
      <c r="M101" s="323"/>
      <c r="N101" s="323">
        <f>IF(ISBLANK(CkReg16_18[[#This Row],[Withdrawal]]),N100+CkReg16_18[[#This Row],[Deposit]],N100-CkReg16_18[[#This Row],[Withdrawal]])</f>
        <v>2157.57800000001</v>
      </c>
      <c r="O101" s="324">
        <v>42961</v>
      </c>
      <c r="P101" s="323">
        <f>IF(ISBLANK(CkReg16_18[[#This Row],[Withdrawal]]),P100+CkReg16_18[[#This Row],[Deposit]],P100-CkReg16_18[[#This Row],[Withdrawal]])</f>
        <v>11947.57800000001</v>
      </c>
      <c r="Q101" s="333"/>
    </row>
    <row r="102" spans="7:17" s="330" customFormat="1" ht="13.8" x14ac:dyDescent="0.3">
      <c r="G102" s="321">
        <v>3158</v>
      </c>
      <c r="H102" s="322">
        <v>42952</v>
      </c>
      <c r="I102" s="307" t="s">
        <v>630</v>
      </c>
      <c r="J102" s="307" t="s">
        <v>663</v>
      </c>
      <c r="K102" s="307" t="s">
        <v>47</v>
      </c>
      <c r="L102" s="323">
        <v>6.33</v>
      </c>
      <c r="M102" s="323"/>
      <c r="N102" s="323">
        <f>IF(ISBLANK(CkReg16_18[[#This Row],[Withdrawal]]),N101+CkReg16_18[[#This Row],[Deposit]],N101-CkReg16_18[[#This Row],[Withdrawal]])</f>
        <v>2151.2480000000101</v>
      </c>
      <c r="O102" s="324">
        <v>42961</v>
      </c>
      <c r="P102" s="323">
        <f>IF(ISBLANK(CkReg16_18[[#This Row],[Withdrawal]]),P101+CkReg16_18[[#This Row],[Deposit]],P101-CkReg16_18[[#This Row],[Withdrawal]])</f>
        <v>11941.248000000011</v>
      </c>
      <c r="Q102" s="333"/>
    </row>
    <row r="103" spans="7:17" s="330" customFormat="1" ht="13.8" x14ac:dyDescent="0.3">
      <c r="G103" s="321">
        <v>3159</v>
      </c>
      <c r="H103" s="322">
        <v>42952</v>
      </c>
      <c r="I103" s="307" t="s">
        <v>600</v>
      </c>
      <c r="J103" s="307"/>
      <c r="K103" s="307"/>
      <c r="L103" s="323">
        <v>0</v>
      </c>
      <c r="M103" s="323"/>
      <c r="N103" s="323">
        <f>IF(ISBLANK(CkReg16_18[[#This Row],[Withdrawal]]),N102+CkReg16_18[[#This Row],[Deposit]],N102-CkReg16_18[[#This Row],[Withdrawal]])</f>
        <v>2151.2480000000101</v>
      </c>
      <c r="O103" s="324">
        <v>42961</v>
      </c>
      <c r="P103" s="323">
        <f>IF(ISBLANK(CkReg16_18[[#This Row],[Withdrawal]]),P102+CkReg16_18[[#This Row],[Deposit]],P102-CkReg16_18[[#This Row],[Withdrawal]])</f>
        <v>11941.248000000011</v>
      </c>
      <c r="Q103" s="333"/>
    </row>
    <row r="104" spans="7:17" s="330" customFormat="1" ht="13.8" x14ac:dyDescent="0.3">
      <c r="G104" s="321">
        <v>3160</v>
      </c>
      <c r="H104" s="322">
        <v>42953</v>
      </c>
      <c r="I104" s="307" t="s">
        <v>717</v>
      </c>
      <c r="J104" s="307" t="s">
        <v>664</v>
      </c>
      <c r="K104" s="307" t="s">
        <v>34</v>
      </c>
      <c r="L104" s="323">
        <v>400</v>
      </c>
      <c r="M104" s="323"/>
      <c r="N104" s="323">
        <f>IF(ISBLANK(CkReg16_18[[#This Row],[Withdrawal]]),N103+CkReg16_18[[#This Row],[Deposit]],N103-CkReg16_18[[#This Row],[Withdrawal]])</f>
        <v>1751.2480000000101</v>
      </c>
      <c r="O104" s="324">
        <v>42965</v>
      </c>
      <c r="P104" s="323">
        <f>IF(ISBLANK(CkReg16_18[[#This Row],[Withdrawal]]),P103+CkReg16_18[[#This Row],[Deposit]],P103-CkReg16_18[[#This Row],[Withdrawal]])</f>
        <v>11541.248000000011</v>
      </c>
      <c r="Q104" s="333"/>
    </row>
    <row r="105" spans="7:17" s="330" customFormat="1" ht="13.8" x14ac:dyDescent="0.3">
      <c r="G105" s="321">
        <v>47220</v>
      </c>
      <c r="H105" s="322">
        <v>42953</v>
      </c>
      <c r="I105" s="307" t="s">
        <v>396</v>
      </c>
      <c r="J105" s="307"/>
      <c r="K105" s="307" t="s">
        <v>32</v>
      </c>
      <c r="L105" s="323"/>
      <c r="M105" s="335">
        <v>60</v>
      </c>
      <c r="N105" s="323">
        <f>IF(ISBLANK(CkReg16_18[[#This Row],[Withdrawal]]),N104+CkReg16_18[[#This Row],[Deposit]],N104-CkReg16_18[[#This Row],[Withdrawal]])</f>
        <v>1811.2480000000101</v>
      </c>
      <c r="O105" s="324">
        <v>42958</v>
      </c>
      <c r="P105" s="323">
        <f>IF(ISBLANK(CkReg16_18[[#This Row],[Withdrawal]]),P104+CkReg16_18[[#This Row],[Deposit]],P104-CkReg16_18[[#This Row],[Withdrawal]])</f>
        <v>11601.248000000011</v>
      </c>
      <c r="Q105" s="333"/>
    </row>
    <row r="106" spans="7:17" s="330" customFormat="1" ht="13.8" x14ac:dyDescent="0.3">
      <c r="G106" s="321">
        <v>47221</v>
      </c>
      <c r="H106" s="322">
        <v>42953</v>
      </c>
      <c r="I106" s="307" t="s">
        <v>680</v>
      </c>
      <c r="J106" s="307"/>
      <c r="K106" s="307" t="s">
        <v>32</v>
      </c>
      <c r="L106" s="323"/>
      <c r="M106" s="335">
        <v>15</v>
      </c>
      <c r="N106" s="323">
        <f>IF(ISBLANK(CkReg16_18[[#This Row],[Withdrawal]]),N105+CkReg16_18[[#This Row],[Deposit]],N105-CkReg16_18[[#This Row],[Withdrawal]])</f>
        <v>1826.2480000000101</v>
      </c>
      <c r="O106" s="324">
        <v>42958</v>
      </c>
      <c r="P106" s="323">
        <f>IF(ISBLANK(CkReg16_18[[#This Row],[Withdrawal]]),P105+CkReg16_18[[#This Row],[Deposit]],P105-CkReg16_18[[#This Row],[Withdrawal]])</f>
        <v>11616.248000000011</v>
      </c>
      <c r="Q106" s="333"/>
    </row>
    <row r="107" spans="7:17" s="330" customFormat="1" ht="13.8" x14ac:dyDescent="0.3">
      <c r="G107" s="321">
        <v>47222</v>
      </c>
      <c r="H107" s="322">
        <v>42953</v>
      </c>
      <c r="I107" s="307" t="s">
        <v>645</v>
      </c>
      <c r="J107" s="307"/>
      <c r="K107" s="307" t="s">
        <v>32</v>
      </c>
      <c r="L107" s="323"/>
      <c r="M107" s="335">
        <v>25</v>
      </c>
      <c r="N107" s="323">
        <f>IF(ISBLANK(CkReg16_18[[#This Row],[Withdrawal]]),N106+CkReg16_18[[#This Row],[Deposit]],N106-CkReg16_18[[#This Row],[Withdrawal]])</f>
        <v>1851.2480000000101</v>
      </c>
      <c r="O107" s="324">
        <v>42958</v>
      </c>
      <c r="P107" s="323">
        <f>IF(ISBLANK(CkReg16_18[[#This Row],[Withdrawal]]),P106+CkReg16_18[[#This Row],[Deposit]],P106-CkReg16_18[[#This Row],[Withdrawal]])</f>
        <v>11641.248000000011</v>
      </c>
      <c r="Q107" s="333"/>
    </row>
    <row r="108" spans="7:17" s="330" customFormat="1" ht="13.8" x14ac:dyDescent="0.3">
      <c r="G108" s="321">
        <v>47223</v>
      </c>
      <c r="H108" s="322">
        <v>42953</v>
      </c>
      <c r="I108" s="307" t="s">
        <v>639</v>
      </c>
      <c r="J108" s="307"/>
      <c r="K108" s="307" t="s">
        <v>32</v>
      </c>
      <c r="L108" s="323"/>
      <c r="M108" s="335">
        <v>20</v>
      </c>
      <c r="N108" s="323">
        <f>IF(ISBLANK(CkReg16_18[[#This Row],[Withdrawal]]),N107+CkReg16_18[[#This Row],[Deposit]],N107-CkReg16_18[[#This Row],[Withdrawal]])</f>
        <v>1871.2480000000101</v>
      </c>
      <c r="O108" s="324">
        <v>42958</v>
      </c>
      <c r="P108" s="323">
        <f>IF(ISBLANK(CkReg16_18[[#This Row],[Withdrawal]]),P107+CkReg16_18[[#This Row],[Deposit]],P107-CkReg16_18[[#This Row],[Withdrawal]])</f>
        <v>11661.248000000011</v>
      </c>
      <c r="Q108" s="333"/>
    </row>
    <row r="109" spans="7:17" s="330" customFormat="1" ht="13.8" x14ac:dyDescent="0.3">
      <c r="G109" s="321">
        <v>47224</v>
      </c>
      <c r="H109" s="322">
        <v>42953</v>
      </c>
      <c r="I109" s="307" t="s">
        <v>591</v>
      </c>
      <c r="J109" s="307" t="s">
        <v>682</v>
      </c>
      <c r="K109" s="307" t="s">
        <v>590</v>
      </c>
      <c r="L109" s="323"/>
      <c r="M109" s="335">
        <v>-98</v>
      </c>
      <c r="N109" s="323">
        <f>IF(ISBLANK(CkReg16_18[[#This Row],[Withdrawal]]),N108+CkReg16_18[[#This Row],[Deposit]],N108-CkReg16_18[[#This Row],[Withdrawal]])</f>
        <v>1773.2480000000101</v>
      </c>
      <c r="O109" s="324">
        <v>42958</v>
      </c>
      <c r="P109" s="323">
        <f>IF(ISBLANK(CkReg16_18[[#This Row],[Withdrawal]]),P108+CkReg16_18[[#This Row],[Deposit]],P108-CkReg16_18[[#This Row],[Withdrawal]])</f>
        <v>11563.248000000011</v>
      </c>
      <c r="Q109" s="333"/>
    </row>
    <row r="110" spans="7:17" s="330" customFormat="1" ht="13.8" x14ac:dyDescent="0.3">
      <c r="G110" s="321">
        <v>47225</v>
      </c>
      <c r="H110" s="322">
        <v>42953</v>
      </c>
      <c r="I110" s="307" t="s">
        <v>632</v>
      </c>
      <c r="J110" s="307" t="s">
        <v>681</v>
      </c>
      <c r="K110" s="307" t="s">
        <v>51</v>
      </c>
      <c r="L110" s="323">
        <v>-66.739999999999995</v>
      </c>
      <c r="M110" s="335">
        <f>+'Check Register 2015'!M277</f>
        <v>0</v>
      </c>
      <c r="N110" s="323">
        <f>IF(ISBLANK(CkReg16_18[[#This Row],[Withdrawal]]),N109+CkReg16_18[[#This Row],[Deposit]],N109-CkReg16_18[[#This Row],[Withdrawal]])</f>
        <v>1839.9880000000101</v>
      </c>
      <c r="O110" s="324">
        <v>42958</v>
      </c>
      <c r="P110" s="323">
        <f>IF(ISBLANK(CkReg16_18[[#This Row],[Withdrawal]]),P109+CkReg16_18[[#This Row],[Deposit]],P109-CkReg16_18[[#This Row],[Withdrawal]])</f>
        <v>11629.98800000001</v>
      </c>
      <c r="Q110" s="333"/>
    </row>
    <row r="111" spans="7:17" s="330" customFormat="1" ht="13.8" x14ac:dyDescent="0.3">
      <c r="G111" s="321">
        <v>3161</v>
      </c>
      <c r="H111" s="322">
        <v>42962</v>
      </c>
      <c r="I111" s="307" t="s">
        <v>128</v>
      </c>
      <c r="J111" s="307" t="s">
        <v>665</v>
      </c>
      <c r="K111" s="307" t="s">
        <v>68</v>
      </c>
      <c r="L111" s="323">
        <v>179.91</v>
      </c>
      <c r="M111" s="323"/>
      <c r="N111" s="323">
        <f>IF(ISBLANK(CkReg16_18[[#This Row],[Withdrawal]]),N110+CkReg16_18[[#This Row],[Deposit]],N110-CkReg16_18[[#This Row],[Withdrawal]])</f>
        <v>1660.07800000001</v>
      </c>
      <c r="O111" s="324">
        <v>42963</v>
      </c>
      <c r="P111" s="323">
        <f>IF(ISBLANK(CkReg16_18[[#This Row],[Withdrawal]]),P110+CkReg16_18[[#This Row],[Deposit]],P110-CkReg16_18[[#This Row],[Withdrawal]])</f>
        <v>11450.07800000001</v>
      </c>
      <c r="Q111" s="333"/>
    </row>
    <row r="112" spans="7:17" s="330" customFormat="1" ht="13.8" x14ac:dyDescent="0.3">
      <c r="G112" s="321">
        <v>3162</v>
      </c>
      <c r="H112" s="322">
        <v>42963</v>
      </c>
      <c r="I112" s="307" t="s">
        <v>632</v>
      </c>
      <c r="J112" s="307"/>
      <c r="K112" s="307" t="s">
        <v>51</v>
      </c>
      <c r="L112" s="323">
        <v>80</v>
      </c>
      <c r="M112" s="323"/>
      <c r="N112" s="323">
        <f>IF(ISBLANK(CkReg16_18[[#This Row],[Withdrawal]]),N111+CkReg16_18[[#This Row],[Deposit]],N111-CkReg16_18[[#This Row],[Withdrawal]])</f>
        <v>1580.07800000001</v>
      </c>
      <c r="O112" s="324">
        <v>42965</v>
      </c>
      <c r="P112" s="323">
        <f>IF(ISBLANK(CkReg16_18[[#This Row],[Withdrawal]]),P111+CkReg16_18[[#This Row],[Deposit]],P111-CkReg16_18[[#This Row],[Withdrawal]])</f>
        <v>11370.07800000001</v>
      </c>
      <c r="Q112" s="333"/>
    </row>
    <row r="113" spans="2:17" s="330" customFormat="1" ht="13.8" x14ac:dyDescent="0.3">
      <c r="G113" s="321">
        <v>3163</v>
      </c>
      <c r="H113" s="322">
        <v>42964</v>
      </c>
      <c r="I113" s="307" t="s">
        <v>172</v>
      </c>
      <c r="J113" s="307" t="s">
        <v>488</v>
      </c>
      <c r="K113" s="307" t="s">
        <v>70</v>
      </c>
      <c r="L113" s="323">
        <v>90</v>
      </c>
      <c r="M113" s="323"/>
      <c r="N113" s="323">
        <f>IF(ISBLANK(CkReg16_18[[#This Row],[Withdrawal]]),N112+CkReg16_18[[#This Row],[Deposit]],N112-CkReg16_18[[#This Row],[Withdrawal]])</f>
        <v>1490.07800000001</v>
      </c>
      <c r="O113" s="324">
        <v>42985</v>
      </c>
      <c r="P113" s="323">
        <f>IF(ISBLANK(CkReg16_18[[#This Row],[Withdrawal]]),P112+CkReg16_18[[#This Row],[Deposit]],P112-CkReg16_18[[#This Row],[Withdrawal]])</f>
        <v>11280.07800000001</v>
      </c>
      <c r="Q113" s="333"/>
    </row>
    <row r="114" spans="2:17" s="330" customFormat="1" ht="13.8" x14ac:dyDescent="0.3">
      <c r="G114" s="321">
        <v>3164</v>
      </c>
      <c r="H114" s="322">
        <v>42964</v>
      </c>
      <c r="I114" s="307" t="s">
        <v>156</v>
      </c>
      <c r="J114" s="307" t="s">
        <v>666</v>
      </c>
      <c r="K114" s="307" t="s">
        <v>67</v>
      </c>
      <c r="L114" s="323">
        <v>117.72</v>
      </c>
      <c r="M114" s="323"/>
      <c r="N114" s="323">
        <f>IF(ISBLANK(CkReg16_18[[#This Row],[Withdrawal]]),N113+CkReg16_18[[#This Row],[Deposit]],N113-CkReg16_18[[#This Row],[Withdrawal]])</f>
        <v>1372.35800000001</v>
      </c>
      <c r="O114" s="324">
        <v>42983</v>
      </c>
      <c r="P114" s="323">
        <f>IF(ISBLANK(CkReg16_18[[#This Row],[Withdrawal]]),P113+CkReg16_18[[#This Row],[Deposit]],P113-CkReg16_18[[#This Row],[Withdrawal]])</f>
        <v>11162.358000000011</v>
      </c>
      <c r="Q114" s="333"/>
    </row>
    <row r="115" spans="2:17" s="330" customFormat="1" ht="13.8" x14ac:dyDescent="0.3">
      <c r="G115" s="321">
        <v>3165</v>
      </c>
      <c r="H115" s="322">
        <v>42975</v>
      </c>
      <c r="I115" s="307" t="s">
        <v>630</v>
      </c>
      <c r="J115" s="307" t="s">
        <v>667</v>
      </c>
      <c r="K115" s="307" t="s">
        <v>67</v>
      </c>
      <c r="L115" s="323">
        <v>124.08</v>
      </c>
      <c r="M115" s="323"/>
      <c r="N115" s="323">
        <f>IF(ISBLANK(CkReg16_18[[#This Row],[Withdrawal]]),N114+CkReg16_18[[#This Row],[Deposit]],N114-CkReg16_18[[#This Row],[Withdrawal]])</f>
        <v>1248.27800000001</v>
      </c>
      <c r="O115" s="324">
        <v>42983</v>
      </c>
      <c r="P115" s="323">
        <f>IF(ISBLANK(CkReg16_18[[#This Row],[Withdrawal]]),P114+CkReg16_18[[#This Row],[Deposit]],P114-CkReg16_18[[#This Row],[Withdrawal]])</f>
        <v>11038.278000000011</v>
      </c>
      <c r="Q115" s="333"/>
    </row>
    <row r="116" spans="2:17" s="330" customFormat="1" ht="13.8" x14ac:dyDescent="0.3">
      <c r="G116" s="307">
        <v>3166</v>
      </c>
      <c r="H116" s="322">
        <v>42975</v>
      </c>
      <c r="I116" s="307" t="s">
        <v>467</v>
      </c>
      <c r="J116" s="307"/>
      <c r="K116" s="307" t="s">
        <v>67</v>
      </c>
      <c r="L116" s="323">
        <v>3378.1</v>
      </c>
      <c r="M116" s="323"/>
      <c r="N116" s="323">
        <f>IF(ISBLANK(CkReg16_18[[#This Row],[Withdrawal]]),N115+CkReg16_18[[#This Row],[Deposit]],N115-CkReg16_18[[#This Row],[Withdrawal]])</f>
        <v>-2129.8219999999901</v>
      </c>
      <c r="O116" s="322">
        <v>42986</v>
      </c>
      <c r="P116" s="323">
        <f>IF(ISBLANK(CkReg16_18[[#This Row],[Withdrawal]]),P115+CkReg16_18[[#This Row],[Deposit]],P115-CkReg16_18[[#This Row],[Withdrawal]])</f>
        <v>7660.1780000000108</v>
      </c>
      <c r="Q116" s="343"/>
    </row>
    <row r="117" spans="2:17" s="330" customFormat="1" ht="13.8" x14ac:dyDescent="0.3">
      <c r="D117" s="330" t="s">
        <v>679</v>
      </c>
      <c r="G117" s="307">
        <v>428736</v>
      </c>
      <c r="H117" s="322">
        <v>42976</v>
      </c>
      <c r="I117" s="307" t="s">
        <v>686</v>
      </c>
      <c r="J117" s="307" t="s">
        <v>687</v>
      </c>
      <c r="K117" s="307" t="s">
        <v>61</v>
      </c>
      <c r="L117" s="323"/>
      <c r="M117" s="335">
        <v>235</v>
      </c>
      <c r="N117" s="323">
        <f>IF(ISBLANK(CkReg16_18[[#This Row],[Withdrawal]]),N116+CkReg16_18[[#This Row],[Deposit]],N116-CkReg16_18[[#This Row],[Withdrawal]])</f>
        <v>-1894.8219999999901</v>
      </c>
      <c r="O117" s="322">
        <v>42976</v>
      </c>
      <c r="P117" s="323">
        <f>IF(ISBLANK(CkReg16_18[[#This Row],[Withdrawal]]),P116+CkReg16_18[[#This Row],[Deposit]],P116-CkReg16_18[[#This Row],[Withdrawal]])</f>
        <v>7895.1780000000108</v>
      </c>
      <c r="Q117" s="343"/>
    </row>
    <row r="118" spans="2:17" s="344" customFormat="1" x14ac:dyDescent="0.3">
      <c r="B118" s="330"/>
      <c r="C118" s="330"/>
      <c r="D118" s="330"/>
      <c r="E118" s="330"/>
      <c r="G118" s="308"/>
      <c r="H118" s="345">
        <v>42978</v>
      </c>
      <c r="I118" s="308" t="s">
        <v>434</v>
      </c>
      <c r="J118" s="308"/>
      <c r="K118" s="308" t="s">
        <v>91</v>
      </c>
      <c r="L118" s="346"/>
      <c r="M118" s="346">
        <v>0.5</v>
      </c>
      <c r="N118" s="323">
        <f>IF(ISBLANK(CkReg16_18[[#This Row],[Withdrawal]]),N117+CkReg16_18[[#This Row],[Deposit]],N117-CkReg16_18[[#This Row],[Withdrawal]])</f>
        <v>-1894.3219999999901</v>
      </c>
      <c r="O118" s="345">
        <v>42978</v>
      </c>
      <c r="P118" s="323">
        <f>IF(ISBLANK(CkReg16_18[[#This Row],[Withdrawal]]),P117+CkReg16_18[[#This Row],[Deposit]],P117-CkReg16_18[[#This Row],[Withdrawal]])</f>
        <v>7895.6780000000108</v>
      </c>
      <c r="Q118" s="347">
        <v>42978</v>
      </c>
    </row>
    <row r="119" spans="2:17" s="330" customFormat="1" x14ac:dyDescent="0.3">
      <c r="B119" s="344"/>
      <c r="C119" s="344"/>
      <c r="D119" s="344"/>
      <c r="E119" s="344"/>
      <c r="G119" s="307">
        <v>47226</v>
      </c>
      <c r="H119" s="322">
        <v>42979</v>
      </c>
      <c r="I119" s="307" t="s">
        <v>683</v>
      </c>
      <c r="J119" s="307" t="s">
        <v>684</v>
      </c>
      <c r="K119" s="307" t="s">
        <v>33</v>
      </c>
      <c r="L119" s="323"/>
      <c r="M119" s="335">
        <v>175.5</v>
      </c>
      <c r="N119" s="323">
        <f>IF(ISBLANK(CkReg16_18[[#This Row],[Withdrawal]]),N118+CkReg16_18[[#This Row],[Deposit]],N118-CkReg16_18[[#This Row],[Withdrawal]])</f>
        <v>-1718.8219999999901</v>
      </c>
      <c r="O119" s="322">
        <v>42985</v>
      </c>
      <c r="P119" s="323">
        <f>IF(ISBLANK(CkReg16_18[[#This Row],[Withdrawal]]),P118+CkReg16_18[[#This Row],[Deposit]],P118-CkReg16_18[[#This Row],[Withdrawal]])</f>
        <v>8071.1780000000108</v>
      </c>
      <c r="Q119" s="343"/>
    </row>
    <row r="120" spans="2:17" s="330" customFormat="1" ht="13.8" x14ac:dyDescent="0.3">
      <c r="G120" s="307">
        <v>428732</v>
      </c>
      <c r="H120" s="322">
        <v>42987</v>
      </c>
      <c r="I120" s="307"/>
      <c r="J120" s="307"/>
      <c r="K120" s="307" t="s">
        <v>61</v>
      </c>
      <c r="L120" s="323"/>
      <c r="M120" s="323">
        <v>285</v>
      </c>
      <c r="N120" s="323">
        <f>IF(ISBLANK(CkReg16_18[[#This Row],[Withdrawal]]),N119+CkReg16_18[[#This Row],[Deposit]],N119-CkReg16_18[[#This Row],[Withdrawal]])</f>
        <v>-1433.8219999999901</v>
      </c>
      <c r="O120" s="322">
        <v>42985</v>
      </c>
      <c r="P120" s="323">
        <f>IF(ISBLANK(CkReg16_18[[#This Row],[Withdrawal]]),P119+CkReg16_18[[#This Row],[Deposit]],P119-CkReg16_18[[#This Row],[Withdrawal]])</f>
        <v>8356.1780000000108</v>
      </c>
      <c r="Q120" s="343"/>
    </row>
    <row r="121" spans="2:17" s="330" customFormat="1" ht="13.8" x14ac:dyDescent="0.3">
      <c r="G121" s="307">
        <v>428737</v>
      </c>
      <c r="H121" s="322">
        <v>42986</v>
      </c>
      <c r="I121" s="307"/>
      <c r="J121" s="307"/>
      <c r="K121" s="307" t="s">
        <v>61</v>
      </c>
      <c r="L121" s="323"/>
      <c r="M121" s="323">
        <v>2646</v>
      </c>
      <c r="N121" s="323">
        <f>IF(ISBLANK(CkReg16_18[[#This Row],[Withdrawal]]),N120+CkReg16_18[[#This Row],[Deposit]],N120-CkReg16_18[[#This Row],[Withdrawal]])</f>
        <v>1212.1780000000099</v>
      </c>
      <c r="O121" s="322">
        <v>42989</v>
      </c>
      <c r="P121" s="323">
        <f>IF(ISBLANK(CkReg16_18[[#This Row],[Withdrawal]]),P120+CkReg16_18[[#This Row],[Deposit]],P120-CkReg16_18[[#This Row],[Withdrawal]])</f>
        <v>11002.178000000011</v>
      </c>
      <c r="Q121" s="343"/>
    </row>
    <row r="122" spans="2:17" s="330" customFormat="1" ht="13.8" x14ac:dyDescent="0.3">
      <c r="G122" s="307">
        <f t="shared" ref="G122:G131" si="2">1+G121</f>
        <v>428738</v>
      </c>
      <c r="H122" s="322">
        <v>42986</v>
      </c>
      <c r="I122" s="307"/>
      <c r="J122" s="307"/>
      <c r="K122" s="307" t="s">
        <v>60</v>
      </c>
      <c r="L122" s="323"/>
      <c r="M122" s="323">
        <v>1613</v>
      </c>
      <c r="N122" s="323">
        <f>IF(ISBLANK(CkReg16_18[[#This Row],[Withdrawal]]),N121+CkReg16_18[[#This Row],[Deposit]],N121-CkReg16_18[[#This Row],[Withdrawal]])</f>
        <v>2825.1780000000099</v>
      </c>
      <c r="O122" s="322">
        <v>42989</v>
      </c>
      <c r="P122" s="323">
        <f>IF(ISBLANK(CkReg16_18[[#This Row],[Withdrawal]]),P121+CkReg16_18[[#This Row],[Deposit]],P121-CkReg16_18[[#This Row],[Withdrawal]])</f>
        <v>12615.178000000011</v>
      </c>
      <c r="Q122" s="343"/>
    </row>
    <row r="123" spans="2:17" s="330" customFormat="1" ht="13.8" x14ac:dyDescent="0.3">
      <c r="G123" s="307">
        <f t="shared" si="2"/>
        <v>428739</v>
      </c>
      <c r="H123" s="322">
        <v>42986</v>
      </c>
      <c r="I123" s="307"/>
      <c r="J123" s="307"/>
      <c r="K123" s="307" t="s">
        <v>61</v>
      </c>
      <c r="L123" s="323"/>
      <c r="M123" s="323">
        <v>1562</v>
      </c>
      <c r="N123" s="323">
        <f>IF(ISBLANK(CkReg16_18[[#This Row],[Withdrawal]]),N122+CkReg16_18[[#This Row],[Deposit]],N122-CkReg16_18[[#This Row],[Withdrawal]])</f>
        <v>4387.1780000000099</v>
      </c>
      <c r="O123" s="322">
        <v>42989</v>
      </c>
      <c r="P123" s="323">
        <f>IF(ISBLANK(CkReg16_18[[#This Row],[Withdrawal]]),P122+CkReg16_18[[#This Row],[Deposit]],P122-CkReg16_18[[#This Row],[Withdrawal]])</f>
        <v>14177.178000000011</v>
      </c>
      <c r="Q123" s="343"/>
    </row>
    <row r="124" spans="2:17" s="330" customFormat="1" ht="13.8" x14ac:dyDescent="0.3">
      <c r="G124" s="307">
        <f t="shared" si="2"/>
        <v>428740</v>
      </c>
      <c r="H124" s="322">
        <v>42987</v>
      </c>
      <c r="I124" s="307"/>
      <c r="J124" s="307"/>
      <c r="K124" s="307" t="s">
        <v>61</v>
      </c>
      <c r="L124" s="323"/>
      <c r="M124" s="323">
        <v>1030</v>
      </c>
      <c r="N124" s="323">
        <f>IF(ISBLANK(CkReg16_18[[#This Row],[Withdrawal]]),N123+CkReg16_18[[#This Row],[Deposit]],N123-CkReg16_18[[#This Row],[Withdrawal]])</f>
        <v>5417.1780000000099</v>
      </c>
      <c r="O124" s="322">
        <v>42989</v>
      </c>
      <c r="P124" s="323">
        <f>IF(ISBLANK(CkReg16_18[[#This Row],[Withdrawal]]),P123+CkReg16_18[[#This Row],[Deposit]],P123-CkReg16_18[[#This Row],[Withdrawal]])</f>
        <v>15207.178000000011</v>
      </c>
      <c r="Q124" s="343"/>
    </row>
    <row r="125" spans="2:17" s="330" customFormat="1" ht="13.8" x14ac:dyDescent="0.3">
      <c r="E125" s="348"/>
      <c r="G125" s="307">
        <f t="shared" si="2"/>
        <v>428741</v>
      </c>
      <c r="H125" s="322">
        <v>42987</v>
      </c>
      <c r="I125" s="307"/>
      <c r="J125" s="307"/>
      <c r="K125" s="307" t="s">
        <v>61</v>
      </c>
      <c r="L125" s="323"/>
      <c r="M125" s="323">
        <v>100</v>
      </c>
      <c r="N125" s="323">
        <f>IF(ISBLANK(CkReg16_18[[#This Row],[Withdrawal]]),N124+CkReg16_18[[#This Row],[Deposit]],N124-CkReg16_18[[#This Row],[Withdrawal]])</f>
        <v>5517.1780000000099</v>
      </c>
      <c r="O125" s="322">
        <v>42989</v>
      </c>
      <c r="P125" s="323">
        <f>IF(ISBLANK(CkReg16_18[[#This Row],[Withdrawal]]),P124+CkReg16_18[[#This Row],[Deposit]],P124-CkReg16_18[[#This Row],[Withdrawal]])</f>
        <v>15307.178000000011</v>
      </c>
      <c r="Q125" s="343"/>
    </row>
    <row r="126" spans="2:17" s="330" customFormat="1" ht="13.8" x14ac:dyDescent="0.3">
      <c r="G126" s="321">
        <f t="shared" si="2"/>
        <v>428742</v>
      </c>
      <c r="H126" s="322">
        <v>42987</v>
      </c>
      <c r="I126" s="307"/>
      <c r="J126" s="307"/>
      <c r="K126" s="307" t="s">
        <v>60</v>
      </c>
      <c r="L126" s="323"/>
      <c r="M126" s="323">
        <v>568.5</v>
      </c>
      <c r="N126" s="323">
        <f>IF(ISBLANK(CkReg16_18[[#This Row],[Withdrawal]]),N125+CkReg16_18[[#This Row],[Deposit]],N125-CkReg16_18[[#This Row],[Withdrawal]])</f>
        <v>6085.6780000000099</v>
      </c>
      <c r="O126" s="324">
        <v>42989</v>
      </c>
      <c r="P126" s="323">
        <f>IF(ISBLANK(CkReg16_18[[#This Row],[Withdrawal]]),P125+CkReg16_18[[#This Row],[Deposit]],P125-CkReg16_18[[#This Row],[Withdrawal]])</f>
        <v>15875.678000000011</v>
      </c>
      <c r="Q126" s="333"/>
    </row>
    <row r="127" spans="2:17" s="330" customFormat="1" ht="13.8" x14ac:dyDescent="0.3">
      <c r="G127" s="321">
        <f t="shared" si="2"/>
        <v>428743</v>
      </c>
      <c r="H127" s="322">
        <v>42987</v>
      </c>
      <c r="I127" s="307"/>
      <c r="J127" s="307"/>
      <c r="K127" s="307" t="s">
        <v>60</v>
      </c>
      <c r="L127" s="323"/>
      <c r="M127" s="323">
        <v>320</v>
      </c>
      <c r="N127" s="323">
        <f>IF(ISBLANK(CkReg16_18[[#This Row],[Withdrawal]]),N126+CkReg16_18[[#This Row],[Deposit]],N126-CkReg16_18[[#This Row],[Withdrawal]])</f>
        <v>6405.6780000000099</v>
      </c>
      <c r="O127" s="324">
        <v>42989</v>
      </c>
      <c r="P127" s="323">
        <f>IF(ISBLANK(CkReg16_18[[#This Row],[Withdrawal]]),P126+CkReg16_18[[#This Row],[Deposit]],P126-CkReg16_18[[#This Row],[Withdrawal]])</f>
        <v>16195.678000000011</v>
      </c>
      <c r="Q127" s="333"/>
    </row>
    <row r="128" spans="2:17" s="330" customFormat="1" ht="13.8" x14ac:dyDescent="0.3">
      <c r="G128" s="321">
        <f t="shared" si="2"/>
        <v>428744</v>
      </c>
      <c r="H128" s="322">
        <v>42987</v>
      </c>
      <c r="I128" s="307"/>
      <c r="J128" s="307"/>
      <c r="K128" s="307" t="s">
        <v>60</v>
      </c>
      <c r="L128" s="323"/>
      <c r="M128" s="323">
        <v>930.25</v>
      </c>
      <c r="N128" s="323">
        <f>IF(ISBLANK(CkReg16_18[[#This Row],[Withdrawal]]),N127+CkReg16_18[[#This Row],[Deposit]],N127-CkReg16_18[[#This Row],[Withdrawal]])</f>
        <v>7335.9280000000099</v>
      </c>
      <c r="O128" s="324">
        <v>42989</v>
      </c>
      <c r="P128" s="323">
        <f>IF(ISBLANK(CkReg16_18[[#This Row],[Withdrawal]]),P127+CkReg16_18[[#This Row],[Deposit]],P127-CkReg16_18[[#This Row],[Withdrawal]])</f>
        <v>17125.928000000011</v>
      </c>
      <c r="Q128" s="333"/>
    </row>
    <row r="129" spans="2:17" s="330" customFormat="1" ht="13.8" x14ac:dyDescent="0.3">
      <c r="G129" s="321">
        <f t="shared" si="2"/>
        <v>428745</v>
      </c>
      <c r="H129" s="322">
        <v>42988</v>
      </c>
      <c r="I129" s="307"/>
      <c r="J129" s="307"/>
      <c r="K129" s="307" t="s">
        <v>60</v>
      </c>
      <c r="L129" s="323"/>
      <c r="M129" s="323">
        <v>80</v>
      </c>
      <c r="N129" s="323">
        <f>IF(ISBLANK(CkReg16_18[[#This Row],[Withdrawal]]),N128+CkReg16_18[[#This Row],[Deposit]],N128-CkReg16_18[[#This Row],[Withdrawal]])</f>
        <v>7415.9280000000099</v>
      </c>
      <c r="O129" s="324">
        <v>42989</v>
      </c>
      <c r="P129" s="323">
        <f>IF(ISBLANK(CkReg16_18[[#This Row],[Withdrawal]]),P128+CkReg16_18[[#This Row],[Deposit]],P128-CkReg16_18[[#This Row],[Withdrawal]])</f>
        <v>17205.928000000011</v>
      </c>
      <c r="Q129" s="333"/>
    </row>
    <row r="130" spans="2:17" s="330" customFormat="1" ht="13.8" x14ac:dyDescent="0.3">
      <c r="G130" s="321">
        <f t="shared" si="2"/>
        <v>428746</v>
      </c>
      <c r="H130" s="322">
        <v>42988</v>
      </c>
      <c r="I130" s="307" t="s">
        <v>668</v>
      </c>
      <c r="J130" s="307"/>
      <c r="K130" s="307" t="s">
        <v>60</v>
      </c>
      <c r="L130" s="323"/>
      <c r="M130" s="323">
        <v>48</v>
      </c>
      <c r="N130" s="323">
        <f>IF(ISBLANK(CkReg16_18[[#This Row],[Withdrawal]]),N129+CkReg16_18[[#This Row],[Deposit]],N129-CkReg16_18[[#This Row],[Withdrawal]])</f>
        <v>7463.9280000000099</v>
      </c>
      <c r="O130" s="324">
        <v>42989</v>
      </c>
      <c r="P130" s="323">
        <f>IF(ISBLANK(CkReg16_18[[#This Row],[Withdrawal]]),P129+CkReg16_18[[#This Row],[Deposit]],P129-CkReg16_18[[#This Row],[Withdrawal]])</f>
        <v>17253.928000000011</v>
      </c>
      <c r="Q130" s="333"/>
    </row>
    <row r="131" spans="2:17" s="330" customFormat="1" ht="13.8" x14ac:dyDescent="0.3">
      <c r="G131" s="321">
        <f t="shared" si="2"/>
        <v>428747</v>
      </c>
      <c r="H131" s="322">
        <v>42988</v>
      </c>
      <c r="I131" s="307" t="s">
        <v>669</v>
      </c>
      <c r="J131" s="307"/>
      <c r="K131" s="307" t="s">
        <v>60</v>
      </c>
      <c r="L131" s="323"/>
      <c r="M131" s="323">
        <v>100</v>
      </c>
      <c r="N131" s="323">
        <f>IF(ISBLANK(CkReg16_18[[#This Row],[Withdrawal]]),N130+CkReg16_18[[#This Row],[Deposit]],N130-CkReg16_18[[#This Row],[Withdrawal]])</f>
        <v>7563.9280000000099</v>
      </c>
      <c r="O131" s="324">
        <v>42989</v>
      </c>
      <c r="P131" s="323">
        <f>IF(ISBLANK(CkReg16_18[[#This Row],[Withdrawal]]),P130+CkReg16_18[[#This Row],[Deposit]],P130-CkReg16_18[[#This Row],[Withdrawal]])</f>
        <v>17353.928000000011</v>
      </c>
      <c r="Q131" s="333"/>
    </row>
    <row r="132" spans="2:17" s="330" customFormat="1" ht="13.8" x14ac:dyDescent="0.3">
      <c r="G132" s="321">
        <v>3167</v>
      </c>
      <c r="H132" s="322">
        <v>42981</v>
      </c>
      <c r="I132" s="307" t="s">
        <v>172</v>
      </c>
      <c r="J132" s="307" t="s">
        <v>689</v>
      </c>
      <c r="K132" s="307" t="s">
        <v>60</v>
      </c>
      <c r="L132" s="323"/>
      <c r="M132" s="323">
        <v>-100</v>
      </c>
      <c r="N132" s="323">
        <f>IF(ISBLANK(CkReg16_18[[#This Row],[Withdrawal]]),N131+CkReg16_18[[#This Row],[Deposit]],N131-CkReg16_18[[#This Row],[Withdrawal]])</f>
        <v>7463.9280000000099</v>
      </c>
      <c r="O132" s="324">
        <v>42989</v>
      </c>
      <c r="P132" s="323">
        <f>IF(ISBLANK(CkReg16_18[[#This Row],[Withdrawal]]),P131+CkReg16_18[[#This Row],[Deposit]],P131-CkReg16_18[[#This Row],[Withdrawal]])</f>
        <v>17253.928000000011</v>
      </c>
      <c r="Q132" s="333"/>
    </row>
    <row r="133" spans="2:17" s="330" customFormat="1" ht="13.8" x14ac:dyDescent="0.3">
      <c r="G133" s="321">
        <v>3167</v>
      </c>
      <c r="H133" s="322">
        <v>42981</v>
      </c>
      <c r="I133" s="307" t="s">
        <v>172</v>
      </c>
      <c r="J133" s="307" t="s">
        <v>690</v>
      </c>
      <c r="K133" s="307" t="s">
        <v>61</v>
      </c>
      <c r="L133" s="323"/>
      <c r="M133" s="323">
        <v>-100</v>
      </c>
      <c r="N133" s="323">
        <f>IF(ISBLANK(CkReg16_18[[#This Row],[Withdrawal]]),N132+CkReg16_18[[#This Row],[Deposit]],N132-CkReg16_18[[#This Row],[Withdrawal]])</f>
        <v>7363.9280000000099</v>
      </c>
      <c r="O133" s="324">
        <v>42989</v>
      </c>
      <c r="P133" s="323">
        <f>IF(ISBLANK(CkReg16_18[[#This Row],[Withdrawal]]),P132+CkReg16_18[[#This Row],[Deposit]],P132-CkReg16_18[[#This Row],[Withdrawal]])</f>
        <v>17153.928000000011</v>
      </c>
      <c r="Q133" s="333"/>
    </row>
    <row r="134" spans="2:17" s="330" customFormat="1" ht="13.8" x14ac:dyDescent="0.3">
      <c r="G134" s="321">
        <v>3168</v>
      </c>
      <c r="H134" s="322">
        <v>42984</v>
      </c>
      <c r="I134" s="307" t="s">
        <v>467</v>
      </c>
      <c r="J134" s="307"/>
      <c r="K134" s="307" t="s">
        <v>67</v>
      </c>
      <c r="L134" s="323">
        <v>194.89</v>
      </c>
      <c r="M134" s="323"/>
      <c r="N134" s="323">
        <f>IF(ISBLANK(CkReg16_18[[#This Row],[Withdrawal]]),N133+CkReg16_18[[#This Row],[Deposit]],N133-CkReg16_18[[#This Row],[Withdrawal]])</f>
        <v>7169.0380000000096</v>
      </c>
      <c r="O134" s="324">
        <v>43021</v>
      </c>
      <c r="P134" s="323">
        <f>IF(ISBLANK(CkReg16_18[[#This Row],[Withdrawal]]),P133+CkReg16_18[[#This Row],[Deposit]],P133-CkReg16_18[[#This Row],[Withdrawal]])</f>
        <v>16959.038000000011</v>
      </c>
      <c r="Q134" s="333"/>
    </row>
    <row r="135" spans="2:17" s="330" customFormat="1" ht="13.8" x14ac:dyDescent="0.3">
      <c r="E135" s="330" t="s">
        <v>142</v>
      </c>
      <c r="G135" s="321">
        <v>3169</v>
      </c>
      <c r="H135" s="322">
        <v>42984</v>
      </c>
      <c r="I135" s="307" t="s">
        <v>425</v>
      </c>
      <c r="J135" s="307"/>
      <c r="K135" s="307" t="s">
        <v>67</v>
      </c>
      <c r="L135" s="323">
        <v>34.68</v>
      </c>
      <c r="M135" s="323"/>
      <c r="N135" s="323">
        <f>IF(ISBLANK(CkReg16_18[[#This Row],[Withdrawal]]),N134+CkReg16_18[[#This Row],[Deposit]],N134-CkReg16_18[[#This Row],[Withdrawal]])</f>
        <v>7134.3580000000093</v>
      </c>
      <c r="O135" s="324">
        <v>42989</v>
      </c>
      <c r="P135" s="323">
        <f>IF(ISBLANK(CkReg16_18[[#This Row],[Withdrawal]]),P134+CkReg16_18[[#This Row],[Deposit]],P134-CkReg16_18[[#This Row],[Withdrawal]])</f>
        <v>16924.358000000011</v>
      </c>
      <c r="Q135" s="333"/>
    </row>
    <row r="136" spans="2:17" s="330" customFormat="1" ht="13.8" x14ac:dyDescent="0.3">
      <c r="G136" s="321">
        <v>3170</v>
      </c>
      <c r="H136" s="322">
        <v>42985</v>
      </c>
      <c r="I136" s="307" t="s">
        <v>670</v>
      </c>
      <c r="J136" s="307" t="s">
        <v>671</v>
      </c>
      <c r="K136" s="307" t="s">
        <v>74</v>
      </c>
      <c r="L136" s="323">
        <v>200</v>
      </c>
      <c r="M136" s="323"/>
      <c r="N136" s="323">
        <f>IF(ISBLANK(CkReg16_18[[#This Row],[Withdrawal]]),N135+CkReg16_18[[#This Row],[Deposit]],N135-CkReg16_18[[#This Row],[Withdrawal]])</f>
        <v>6934.3580000000093</v>
      </c>
      <c r="O136" s="324">
        <v>42992</v>
      </c>
      <c r="P136" s="323">
        <f>IF(ISBLANK(CkReg16_18[[#This Row],[Withdrawal]]),P135+CkReg16_18[[#This Row],[Deposit]],P135-CkReg16_18[[#This Row],[Withdrawal]])</f>
        <v>16724.358000000011</v>
      </c>
      <c r="Q136" s="333"/>
    </row>
    <row r="137" spans="2:17" s="330" customFormat="1" ht="13.8" x14ac:dyDescent="0.3">
      <c r="G137" s="321">
        <v>3171</v>
      </c>
      <c r="H137" s="322">
        <v>42987</v>
      </c>
      <c r="I137" s="307" t="s">
        <v>137</v>
      </c>
      <c r="J137" s="307" t="s">
        <v>672</v>
      </c>
      <c r="K137" s="307" t="s">
        <v>68</v>
      </c>
      <c r="L137" s="323">
        <v>300</v>
      </c>
      <c r="M137" s="323"/>
      <c r="N137" s="323">
        <f>IF(ISBLANK(CkReg16_18[[#This Row],[Withdrawal]]),N136+CkReg16_18[[#This Row],[Deposit]],N136-CkReg16_18[[#This Row],[Withdrawal]])</f>
        <v>6634.3580000000093</v>
      </c>
      <c r="O137" s="324">
        <v>42990</v>
      </c>
      <c r="P137" s="323">
        <f>IF(ISBLANK(CkReg16_18[[#This Row],[Withdrawal]]),P136+CkReg16_18[[#This Row],[Deposit]],P136-CkReg16_18[[#This Row],[Withdrawal]])</f>
        <v>16424.358000000011</v>
      </c>
      <c r="Q137" s="333"/>
    </row>
    <row r="138" spans="2:17" s="330" customFormat="1" ht="13.8" x14ac:dyDescent="0.3">
      <c r="G138" s="321">
        <v>3172</v>
      </c>
      <c r="H138" s="322">
        <v>42987</v>
      </c>
      <c r="I138" s="307" t="s">
        <v>630</v>
      </c>
      <c r="J138" s="307"/>
      <c r="K138" s="307" t="s">
        <v>67</v>
      </c>
      <c r="L138" s="323">
        <v>89.7</v>
      </c>
      <c r="M138" s="323"/>
      <c r="N138" s="323">
        <f>IF(ISBLANK(CkReg16_18[[#This Row],[Withdrawal]]),N137+CkReg16_18[[#This Row],[Deposit]],N137-CkReg16_18[[#This Row],[Withdrawal]])</f>
        <v>6544.6580000000095</v>
      </c>
      <c r="O138" s="324">
        <v>42991</v>
      </c>
      <c r="P138" s="323">
        <f>IF(ISBLANK(CkReg16_18[[#This Row],[Withdrawal]]),P137+CkReg16_18[[#This Row],[Deposit]],P137-CkReg16_18[[#This Row],[Withdrawal]])</f>
        <v>16334.65800000001</v>
      </c>
      <c r="Q138" s="333"/>
    </row>
    <row r="139" spans="2:17" s="330" customFormat="1" ht="13.8" x14ac:dyDescent="0.3">
      <c r="G139" s="321">
        <v>3173</v>
      </c>
      <c r="H139" s="322">
        <v>42988</v>
      </c>
      <c r="I139" s="307" t="s">
        <v>673</v>
      </c>
      <c r="J139" s="307"/>
      <c r="K139" s="307" t="s">
        <v>63</v>
      </c>
      <c r="L139" s="323">
        <v>9.42</v>
      </c>
      <c r="M139" s="323"/>
      <c r="N139" s="323">
        <f>IF(ISBLANK(CkReg16_18[[#This Row],[Withdrawal]]),N138+CkReg16_18[[#This Row],[Deposit]],N138-CkReg16_18[[#This Row],[Withdrawal]])</f>
        <v>6535.2380000000094</v>
      </c>
      <c r="O139" s="324">
        <v>42996</v>
      </c>
      <c r="P139" s="323">
        <f>IF(ISBLANK(CkReg16_18[[#This Row],[Withdrawal]]),P138+CkReg16_18[[#This Row],[Deposit]],P138-CkReg16_18[[#This Row],[Withdrawal]])</f>
        <v>16325.23800000001</v>
      </c>
      <c r="Q139" s="333"/>
    </row>
    <row r="140" spans="2:17" s="330" customFormat="1" ht="13.8" x14ac:dyDescent="0.3">
      <c r="G140" s="321">
        <v>47227</v>
      </c>
      <c r="H140" s="322">
        <v>42979</v>
      </c>
      <c r="I140" s="307" t="s">
        <v>683</v>
      </c>
      <c r="J140" s="307"/>
      <c r="K140" s="307" t="s">
        <v>33</v>
      </c>
      <c r="L140" s="323"/>
      <c r="M140" s="335">
        <v>224.15</v>
      </c>
      <c r="N140" s="323">
        <f>IF(ISBLANK(CkReg16_18[[#This Row],[Withdrawal]]),N139+CkReg16_18[[#This Row],[Deposit]],N139-CkReg16_18[[#This Row],[Withdrawal]])</f>
        <v>6759.388000000009</v>
      </c>
      <c r="O140" s="324">
        <v>43020</v>
      </c>
      <c r="P140" s="323">
        <f>IF(ISBLANK(CkReg16_18[[#This Row],[Withdrawal]]),P139+CkReg16_18[[#This Row],[Deposit]],P139-CkReg16_18[[#This Row],[Withdrawal]])</f>
        <v>16549.38800000001</v>
      </c>
      <c r="Q140" s="333"/>
    </row>
    <row r="141" spans="2:17" s="330" customFormat="1" ht="13.8" x14ac:dyDescent="0.3">
      <c r="G141" s="321">
        <v>47228</v>
      </c>
      <c r="H141" s="322">
        <v>43002</v>
      </c>
      <c r="I141" s="307" t="s">
        <v>713</v>
      </c>
      <c r="J141" s="307"/>
      <c r="K141" s="307" t="s">
        <v>66</v>
      </c>
      <c r="L141" s="323">
        <v>-89.89</v>
      </c>
      <c r="M141" s="335"/>
      <c r="N141" s="323">
        <f>IF(ISBLANK(CkReg16_18[[#This Row],[Withdrawal]]),N140+CkReg16_18[[#This Row],[Deposit]],N140-CkReg16_18[[#This Row],[Withdrawal]])</f>
        <v>6849.2780000000093</v>
      </c>
      <c r="O141" s="324">
        <v>43020</v>
      </c>
      <c r="P141" s="323">
        <f>IF(ISBLANK(CkReg16_18[[#This Row],[Withdrawal]]),P140+CkReg16_18[[#This Row],[Deposit]],P140-CkReg16_18[[#This Row],[Withdrawal]])</f>
        <v>16639.278000000009</v>
      </c>
      <c r="Q141" s="333"/>
    </row>
    <row r="142" spans="2:17" s="330" customFormat="1" ht="13.8" x14ac:dyDescent="0.3">
      <c r="G142" s="321">
        <v>47233</v>
      </c>
      <c r="H142" s="322">
        <v>43002</v>
      </c>
      <c r="I142" s="307" t="s">
        <v>84</v>
      </c>
      <c r="J142" s="307"/>
      <c r="K142" s="307" t="s">
        <v>61</v>
      </c>
      <c r="L142" s="323"/>
      <c r="M142" s="335">
        <v>70</v>
      </c>
      <c r="N142" s="323">
        <f>IF(ISBLANK(CkReg16_18[[#This Row],[Withdrawal]]),N141+CkReg16_18[[#This Row],[Deposit]],N141-CkReg16_18[[#This Row],[Withdrawal]])</f>
        <v>6919.2780000000093</v>
      </c>
      <c r="O142" s="324">
        <v>43020</v>
      </c>
      <c r="P142" s="323">
        <f>IF(ISBLANK(CkReg16_18[[#This Row],[Withdrawal]]),P141+CkReg16_18[[#This Row],[Deposit]],P141-CkReg16_18[[#This Row],[Withdrawal]])</f>
        <v>16709.278000000009</v>
      </c>
      <c r="Q142" s="333"/>
    </row>
    <row r="143" spans="2:17" s="330" customFormat="1" x14ac:dyDescent="0.3">
      <c r="B143" s="330">
        <f>6701-205.93</f>
        <v>6495.07</v>
      </c>
      <c r="G143" s="321">
        <v>47234</v>
      </c>
      <c r="H143" s="322">
        <v>42988</v>
      </c>
      <c r="I143" s="307" t="s">
        <v>674</v>
      </c>
      <c r="J143" s="307"/>
      <c r="K143" s="307" t="s">
        <v>61</v>
      </c>
      <c r="L143" s="323"/>
      <c r="M143" s="349">
        <v>6701</v>
      </c>
      <c r="N143" s="323">
        <f>IF(ISBLANK(CkReg16_18[[#This Row],[Withdrawal]]),N142+CkReg16_18[[#This Row],[Deposit]],N142-CkReg16_18[[#This Row],[Withdrawal]])</f>
        <v>13620.278000000009</v>
      </c>
      <c r="O143" s="324">
        <v>43020</v>
      </c>
      <c r="P143" s="323">
        <f>IF(ISBLANK(CkReg16_18[[#This Row],[Withdrawal]]),P142+CkReg16_18[[#This Row],[Deposit]],P142-CkReg16_18[[#This Row],[Withdrawal]])</f>
        <v>23410.278000000009</v>
      </c>
      <c r="Q143" s="333"/>
    </row>
    <row r="144" spans="2:17" s="330" customFormat="1" x14ac:dyDescent="0.3">
      <c r="G144" s="321">
        <v>47234</v>
      </c>
      <c r="H144" s="322">
        <v>42988</v>
      </c>
      <c r="I144" s="307" t="s">
        <v>675</v>
      </c>
      <c r="J144" s="307"/>
      <c r="K144" s="307" t="s">
        <v>70</v>
      </c>
      <c r="L144" s="350">
        <v>205.93</v>
      </c>
      <c r="M144" s="323"/>
      <c r="N144" s="323">
        <f>IF(ISBLANK(CkReg16_18[[#This Row],[Withdrawal]]),N143+CkReg16_18[[#This Row],[Deposit]],N143-CkReg16_18[[#This Row],[Withdrawal]])</f>
        <v>13414.348000000009</v>
      </c>
      <c r="O144" s="324">
        <v>43020</v>
      </c>
      <c r="P144" s="323">
        <f>IF(ISBLANK(CkReg16_18[[#This Row],[Withdrawal]]),P143+CkReg16_18[[#This Row],[Deposit]],P143-CkReg16_18[[#This Row],[Withdrawal]])</f>
        <v>23204.348000000009</v>
      </c>
      <c r="Q144" s="333"/>
    </row>
    <row r="145" spans="7:17" s="330" customFormat="1" ht="13.8" x14ac:dyDescent="0.3">
      <c r="G145" s="321">
        <v>47235</v>
      </c>
      <c r="H145" s="322">
        <v>42988</v>
      </c>
      <c r="I145" s="307" t="s">
        <v>676</v>
      </c>
      <c r="J145" s="307" t="s">
        <v>677</v>
      </c>
      <c r="K145" s="307" t="s">
        <v>61</v>
      </c>
      <c r="L145" s="323"/>
      <c r="M145" s="323">
        <f>2855+94.6</f>
        <v>2949.6</v>
      </c>
      <c r="N145" s="323">
        <f>IF(ISBLANK(CkReg16_18[[#This Row],[Withdrawal]]),N144+CkReg16_18[[#This Row],[Deposit]],N144-CkReg16_18[[#This Row],[Withdrawal]])</f>
        <v>16363.948000000009</v>
      </c>
      <c r="O145" s="324">
        <v>42989</v>
      </c>
      <c r="P145" s="323">
        <f>IF(ISBLANK(CkReg16_18[[#This Row],[Withdrawal]]),P144+CkReg16_18[[#This Row],[Deposit]],P144-CkReg16_18[[#This Row],[Withdrawal]])</f>
        <v>26153.948000000008</v>
      </c>
      <c r="Q145" s="333"/>
    </row>
    <row r="146" spans="7:17" s="330" customFormat="1" ht="13.8" x14ac:dyDescent="0.3">
      <c r="G146" s="321">
        <v>47235</v>
      </c>
      <c r="H146" s="322">
        <v>42988</v>
      </c>
      <c r="I146" s="321" t="s">
        <v>676</v>
      </c>
      <c r="J146" s="307" t="s">
        <v>678</v>
      </c>
      <c r="K146" s="307" t="s">
        <v>70</v>
      </c>
      <c r="L146" s="323">
        <v>120.11</v>
      </c>
      <c r="M146" s="323"/>
      <c r="N146" s="323">
        <f>IF(ISBLANK(CkReg16_18[[#This Row],[Withdrawal]]),N145+CkReg16_18[[#This Row],[Deposit]],N145-CkReg16_18[[#This Row],[Withdrawal]])</f>
        <v>16243.838000000009</v>
      </c>
      <c r="O146" s="324">
        <v>42989</v>
      </c>
      <c r="P146" s="323">
        <f>IF(ISBLANK(CkReg16_18[[#This Row],[Withdrawal]]),P145+CkReg16_18[[#This Row],[Deposit]],P145-CkReg16_18[[#This Row],[Withdrawal]])</f>
        <v>26033.838000000007</v>
      </c>
      <c r="Q146" s="333"/>
    </row>
    <row r="147" spans="7:17" s="330" customFormat="1" ht="13.8" x14ac:dyDescent="0.3">
      <c r="G147" s="321">
        <v>47235</v>
      </c>
      <c r="H147" s="322">
        <v>42988</v>
      </c>
      <c r="I147" s="307" t="s">
        <v>676</v>
      </c>
      <c r="J147" s="307" t="s">
        <v>677</v>
      </c>
      <c r="K147" s="307" t="s">
        <v>60</v>
      </c>
      <c r="L147" s="323"/>
      <c r="M147" s="323">
        <v>1696.8300000000004</v>
      </c>
      <c r="N147" s="323">
        <f>IF(ISBLANK(CkReg16_18[[#This Row],[Withdrawal]]),N146+CkReg16_18[[#This Row],[Deposit]],N146-CkReg16_18[[#This Row],[Withdrawal]])</f>
        <v>17940.668000000009</v>
      </c>
      <c r="O147" s="324">
        <v>42989</v>
      </c>
      <c r="P147" s="323">
        <f>IF(ISBLANK(CkReg16_18[[#This Row],[Withdrawal]]),P146+CkReg16_18[[#This Row],[Deposit]],P146-CkReg16_18[[#This Row],[Withdrawal]])</f>
        <v>27730.668000000009</v>
      </c>
      <c r="Q147" s="333"/>
    </row>
    <row r="148" spans="7:17" s="330" customFormat="1" ht="13.8" x14ac:dyDescent="0.3">
      <c r="G148" s="321">
        <v>47235</v>
      </c>
      <c r="H148" s="322">
        <v>42988</v>
      </c>
      <c r="I148" s="321" t="s">
        <v>676</v>
      </c>
      <c r="J148" s="307" t="s">
        <v>678</v>
      </c>
      <c r="K148" s="307" t="s">
        <v>67</v>
      </c>
      <c r="L148" s="323">
        <v>69.09</v>
      </c>
      <c r="M148" s="323"/>
      <c r="N148" s="323">
        <f>IF(ISBLANK(CkReg16_18[[#This Row],[Withdrawal]]),N147+CkReg16_18[[#This Row],[Deposit]],N147-CkReg16_18[[#This Row],[Withdrawal]])</f>
        <v>17871.578000000009</v>
      </c>
      <c r="O148" s="324">
        <v>42989</v>
      </c>
      <c r="P148" s="323">
        <f>IF(ISBLANK(CkReg16_18[[#This Row],[Withdrawal]]),P147+CkReg16_18[[#This Row],[Deposit]],P147-CkReg16_18[[#This Row],[Withdrawal]])</f>
        <v>27661.578000000009</v>
      </c>
      <c r="Q148" s="333"/>
    </row>
    <row r="149" spans="7:17" s="330" customFormat="1" ht="13.8" x14ac:dyDescent="0.3">
      <c r="G149" s="321">
        <v>47235</v>
      </c>
      <c r="H149" s="322">
        <v>43008</v>
      </c>
      <c r="I149" s="307" t="s">
        <v>434</v>
      </c>
      <c r="J149" s="307"/>
      <c r="K149" s="307" t="s">
        <v>91</v>
      </c>
      <c r="L149" s="323"/>
      <c r="M149" s="335">
        <v>0.72</v>
      </c>
      <c r="N149" s="323">
        <f>IF(ISBLANK(CkReg16_18[[#This Row],[Withdrawal]]),N148+CkReg16_18[[#This Row],[Deposit]],N148-CkReg16_18[[#This Row],[Withdrawal]])</f>
        <v>17872.29800000001</v>
      </c>
      <c r="O149" s="324">
        <v>43008</v>
      </c>
      <c r="P149" s="323">
        <f>IF(ISBLANK(CkReg16_18[[#This Row],[Withdrawal]]),P148+CkReg16_18[[#This Row],[Deposit]],P148-CkReg16_18[[#This Row],[Withdrawal]])</f>
        <v>27662.29800000001</v>
      </c>
      <c r="Q149" s="333">
        <v>43008</v>
      </c>
    </row>
    <row r="150" spans="7:17" s="330" customFormat="1" ht="13.8" x14ac:dyDescent="0.3">
      <c r="G150" s="321">
        <v>47236</v>
      </c>
      <c r="H150" s="322">
        <v>43015</v>
      </c>
      <c r="I150" s="307" t="s">
        <v>156</v>
      </c>
      <c r="J150" s="307"/>
      <c r="K150" s="307" t="s">
        <v>571</v>
      </c>
      <c r="L150" s="323"/>
      <c r="M150" s="335">
        <v>25.38</v>
      </c>
      <c r="N150" s="323">
        <f>IF(ISBLANK(CkReg16_18[[#This Row],[Withdrawal]]),N149+CkReg16_18[[#This Row],[Deposit]],N149-CkReg16_18[[#This Row],[Withdrawal]])</f>
        <v>17897.678000000011</v>
      </c>
      <c r="O150" s="324">
        <v>43020</v>
      </c>
      <c r="P150" s="323">
        <f>IF(ISBLANK(CkReg16_18[[#This Row],[Withdrawal]]),P149+CkReg16_18[[#This Row],[Deposit]],P149-CkReg16_18[[#This Row],[Withdrawal]])</f>
        <v>27687.678000000011</v>
      </c>
      <c r="Q150" s="333"/>
    </row>
    <row r="151" spans="7:17" s="330" customFormat="1" ht="13.8" x14ac:dyDescent="0.3">
      <c r="G151" s="321">
        <f>1+G150</f>
        <v>47237</v>
      </c>
      <c r="H151" s="322">
        <v>43015</v>
      </c>
      <c r="I151" s="307"/>
      <c r="J151" s="307" t="s">
        <v>392</v>
      </c>
      <c r="K151" s="307" t="s">
        <v>32</v>
      </c>
      <c r="L151" s="323"/>
      <c r="M151" s="323">
        <v>50</v>
      </c>
      <c r="N151" s="323">
        <f>IF(ISBLANK(CkReg16_18[[#This Row],[Withdrawal]]),N150+CkReg16_18[[#This Row],[Deposit]],N150-CkReg16_18[[#This Row],[Withdrawal]])</f>
        <v>17947.678000000011</v>
      </c>
      <c r="O151" s="324">
        <v>43020</v>
      </c>
      <c r="P151" s="323">
        <f>IF(ISBLANK(CkReg16_18[[#This Row],[Withdrawal]]),P150+CkReg16_18[[#This Row],[Deposit]],P150-CkReg16_18[[#This Row],[Withdrawal]])</f>
        <v>27737.678000000011</v>
      </c>
      <c r="Q151" s="333"/>
    </row>
    <row r="152" spans="7:17" s="330" customFormat="1" ht="13.8" x14ac:dyDescent="0.3">
      <c r="G152" s="321">
        <f>1+G151</f>
        <v>47238</v>
      </c>
      <c r="H152" s="322">
        <v>43015</v>
      </c>
      <c r="I152" s="307"/>
      <c r="J152" s="307" t="s">
        <v>691</v>
      </c>
      <c r="K152" s="307" t="s">
        <v>32</v>
      </c>
      <c r="L152" s="323"/>
      <c r="M152" s="323">
        <v>65</v>
      </c>
      <c r="N152" s="323">
        <f>IF(ISBLANK(CkReg16_18[[#This Row],[Withdrawal]]),N151+CkReg16_18[[#This Row],[Deposit]],N151-CkReg16_18[[#This Row],[Withdrawal]])</f>
        <v>18012.678000000011</v>
      </c>
      <c r="O152" s="324">
        <v>43020</v>
      </c>
      <c r="P152" s="323">
        <f>IF(ISBLANK(CkReg16_18[[#This Row],[Withdrawal]]),P151+CkReg16_18[[#This Row],[Deposit]],P151-CkReg16_18[[#This Row],[Withdrawal]])</f>
        <v>27802.678000000011</v>
      </c>
      <c r="Q152" s="333"/>
    </row>
    <row r="153" spans="7:17" s="330" customFormat="1" ht="13.8" x14ac:dyDescent="0.3">
      <c r="G153" s="321">
        <f>1+G152</f>
        <v>47239</v>
      </c>
      <c r="H153" s="322">
        <v>43015</v>
      </c>
      <c r="I153" s="307"/>
      <c r="J153" s="307" t="s">
        <v>397</v>
      </c>
      <c r="K153" s="307" t="s">
        <v>32</v>
      </c>
      <c r="L153" s="323"/>
      <c r="M153" s="323">
        <v>50</v>
      </c>
      <c r="N153" s="323">
        <f>IF(ISBLANK(CkReg16_18[[#This Row],[Withdrawal]]),N152+CkReg16_18[[#This Row],[Deposit]],N152-CkReg16_18[[#This Row],[Withdrawal]])</f>
        <v>18062.678000000011</v>
      </c>
      <c r="O153" s="324">
        <v>43020</v>
      </c>
      <c r="P153" s="323">
        <f>IF(ISBLANK(CkReg16_18[[#This Row],[Withdrawal]]),P152+CkReg16_18[[#This Row],[Deposit]],P152-CkReg16_18[[#This Row],[Withdrawal]])</f>
        <v>27852.678000000011</v>
      </c>
      <c r="Q153" s="333"/>
    </row>
    <row r="154" spans="7:17" s="330" customFormat="1" ht="13.8" x14ac:dyDescent="0.3">
      <c r="G154" s="321">
        <f>1+G153</f>
        <v>47240</v>
      </c>
      <c r="H154" s="322">
        <v>43015</v>
      </c>
      <c r="I154" s="307"/>
      <c r="J154" s="307" t="s">
        <v>396</v>
      </c>
      <c r="K154" s="307" t="s">
        <v>32</v>
      </c>
      <c r="L154" s="323"/>
      <c r="M154" s="323">
        <v>10</v>
      </c>
      <c r="N154" s="323">
        <f>IF(ISBLANK(CkReg16_18[[#This Row],[Withdrawal]]),N153+CkReg16_18[[#This Row],[Deposit]],N153-CkReg16_18[[#This Row],[Withdrawal]])</f>
        <v>18072.678000000011</v>
      </c>
      <c r="O154" s="324">
        <v>43020</v>
      </c>
      <c r="P154" s="323">
        <f>IF(ISBLANK(CkReg16_18[[#This Row],[Withdrawal]]),P153+CkReg16_18[[#This Row],[Deposit]],P153-CkReg16_18[[#This Row],[Withdrawal]])</f>
        <v>27862.678000000011</v>
      </c>
      <c r="Q154" s="333"/>
    </row>
    <row r="155" spans="7:17" s="330" customFormat="1" ht="13.8" x14ac:dyDescent="0.3">
      <c r="G155" s="321">
        <f>1+G154</f>
        <v>47241</v>
      </c>
      <c r="H155" s="322">
        <v>43015</v>
      </c>
      <c r="I155" s="307"/>
      <c r="J155" s="307" t="s">
        <v>692</v>
      </c>
      <c r="K155" s="307" t="s">
        <v>32</v>
      </c>
      <c r="L155" s="323"/>
      <c r="M155" s="323">
        <v>20</v>
      </c>
      <c r="N155" s="323">
        <f>IF(ISBLANK(CkReg16_18[[#This Row],[Withdrawal]]),N154+CkReg16_18[[#This Row],[Deposit]],N154-CkReg16_18[[#This Row],[Withdrawal]])</f>
        <v>18092.678000000011</v>
      </c>
      <c r="O155" s="324">
        <v>43020</v>
      </c>
      <c r="P155" s="323">
        <f>IF(ISBLANK(CkReg16_18[[#This Row],[Withdrawal]]),P154+CkReg16_18[[#This Row],[Deposit]],P154-CkReg16_18[[#This Row],[Withdrawal]])</f>
        <v>27882.678000000011</v>
      </c>
      <c r="Q155" s="333"/>
    </row>
    <row r="156" spans="7:17" s="330" customFormat="1" ht="13.8" x14ac:dyDescent="0.3">
      <c r="G156" s="321">
        <v>47242</v>
      </c>
      <c r="H156" s="322">
        <v>43018</v>
      </c>
      <c r="I156" s="307" t="s">
        <v>395</v>
      </c>
      <c r="J156" s="307"/>
      <c r="K156" s="307" t="s">
        <v>571</v>
      </c>
      <c r="L156" s="323"/>
      <c r="M156" s="323">
        <v>120</v>
      </c>
      <c r="N156" s="323">
        <f>IF(ISBLANK(CkReg16_18[[#This Row],[Withdrawal]]),N155+CkReg16_18[[#This Row],[Deposit]],N155-CkReg16_18[[#This Row],[Withdrawal]])</f>
        <v>18212.678000000011</v>
      </c>
      <c r="O156" s="324">
        <v>43020</v>
      </c>
      <c r="P156" s="323">
        <f>IF(ISBLANK(CkReg16_18[[#This Row],[Withdrawal]]),P155+CkReg16_18[[#This Row],[Deposit]],P155-CkReg16_18[[#This Row],[Withdrawal]])</f>
        <v>28002.678000000011</v>
      </c>
      <c r="Q156" s="333"/>
    </row>
    <row r="157" spans="7:17" s="330" customFormat="1" ht="13.8" x14ac:dyDescent="0.3">
      <c r="G157" s="321">
        <v>47242</v>
      </c>
      <c r="H157" s="322">
        <v>43018</v>
      </c>
      <c r="I157" s="307" t="s">
        <v>395</v>
      </c>
      <c r="J157" s="307"/>
      <c r="K157" s="307" t="s">
        <v>32</v>
      </c>
      <c r="L157" s="323"/>
      <c r="M157" s="323">
        <v>30</v>
      </c>
      <c r="N157" s="323">
        <f>IF(ISBLANK(CkReg16_18[[#This Row],[Withdrawal]]),N156+CkReg16_18[[#This Row],[Deposit]],N156-CkReg16_18[[#This Row],[Withdrawal]])</f>
        <v>18242.678000000011</v>
      </c>
      <c r="O157" s="324">
        <v>43020</v>
      </c>
      <c r="P157" s="323">
        <f>IF(ISBLANK(CkReg16_18[[#This Row],[Withdrawal]]),P156+CkReg16_18[[#This Row],[Deposit]],P156-CkReg16_18[[#This Row],[Withdrawal]])</f>
        <v>28032.678000000011</v>
      </c>
      <c r="Q157" s="333"/>
    </row>
    <row r="158" spans="7:17" s="330" customFormat="1" ht="13.8" x14ac:dyDescent="0.3">
      <c r="G158" s="321">
        <v>47243</v>
      </c>
      <c r="H158" s="322">
        <v>43018</v>
      </c>
      <c r="I158" s="307" t="s">
        <v>534</v>
      </c>
      <c r="J158" s="307"/>
      <c r="K158" s="307" t="s">
        <v>571</v>
      </c>
      <c r="L158" s="323"/>
      <c r="M158" s="323">
        <v>104</v>
      </c>
      <c r="N158" s="323">
        <f>IF(ISBLANK(CkReg16_18[[#This Row],[Withdrawal]]),N157+CkReg16_18[[#This Row],[Deposit]],N157-CkReg16_18[[#This Row],[Withdrawal]])</f>
        <v>18346.678000000011</v>
      </c>
      <c r="O158" s="324">
        <v>43020</v>
      </c>
      <c r="P158" s="323">
        <f>IF(ISBLANK(CkReg16_18[[#This Row],[Withdrawal]]),P157+CkReg16_18[[#This Row],[Deposit]],P157-CkReg16_18[[#This Row],[Withdrawal]])</f>
        <v>28136.678000000011</v>
      </c>
      <c r="Q158" s="333"/>
    </row>
    <row r="159" spans="7:17" s="330" customFormat="1" ht="13.8" x14ac:dyDescent="0.3">
      <c r="G159" s="321">
        <v>3174</v>
      </c>
      <c r="H159" s="322">
        <v>43015</v>
      </c>
      <c r="I159" s="307" t="s">
        <v>600</v>
      </c>
      <c r="J159" s="307" t="s">
        <v>87</v>
      </c>
      <c r="K159" s="307"/>
      <c r="L159" s="323">
        <v>0</v>
      </c>
      <c r="M159" s="335"/>
      <c r="N159" s="323">
        <f>IF(ISBLANK(CkReg16_18[[#This Row],[Withdrawal]]),N158+CkReg16_18[[#This Row],[Deposit]],N158-CkReg16_18[[#This Row],[Withdrawal]])</f>
        <v>18346.678000000011</v>
      </c>
      <c r="O159" s="324">
        <v>43015</v>
      </c>
      <c r="P159" s="323">
        <f>IF(ISBLANK(CkReg16_18[[#This Row],[Withdrawal]]),P158+CkReg16_18[[#This Row],[Deposit]],P158-CkReg16_18[[#This Row],[Withdrawal]])</f>
        <v>28136.678000000011</v>
      </c>
      <c r="Q159" s="333"/>
    </row>
    <row r="160" spans="7:17" s="330" customFormat="1" ht="13.8" x14ac:dyDescent="0.3">
      <c r="G160" s="321">
        <v>3175</v>
      </c>
      <c r="H160" s="322">
        <v>43015</v>
      </c>
      <c r="I160" s="307" t="s">
        <v>600</v>
      </c>
      <c r="J160" s="307" t="s">
        <v>87</v>
      </c>
      <c r="K160" s="307"/>
      <c r="L160" s="323">
        <v>0</v>
      </c>
      <c r="M160" s="335"/>
      <c r="N160" s="323">
        <f>IF(ISBLANK(CkReg16_18[[#This Row],[Withdrawal]]),N159+CkReg16_18[[#This Row],[Deposit]],N159-CkReg16_18[[#This Row],[Withdrawal]])</f>
        <v>18346.678000000011</v>
      </c>
      <c r="O160" s="324">
        <v>43015</v>
      </c>
      <c r="P160" s="323">
        <f>IF(ISBLANK(CkReg16_18[[#This Row],[Withdrawal]]),P159+CkReg16_18[[#This Row],[Deposit]],P159-CkReg16_18[[#This Row],[Withdrawal]])</f>
        <v>28136.678000000011</v>
      </c>
      <c r="Q160" s="333"/>
    </row>
    <row r="161" spans="7:17" s="330" customFormat="1" ht="13.8" x14ac:dyDescent="0.3">
      <c r="G161" s="321">
        <v>3176</v>
      </c>
      <c r="H161" s="322">
        <v>43015</v>
      </c>
      <c r="I161" s="307" t="s">
        <v>362</v>
      </c>
      <c r="J161" s="307" t="s">
        <v>693</v>
      </c>
      <c r="K161" s="307" t="s">
        <v>68</v>
      </c>
      <c r="L161" s="323">
        <v>43.47</v>
      </c>
      <c r="M161" s="335"/>
      <c r="N161" s="323">
        <f>IF(ISBLANK(CkReg16_18[[#This Row],[Withdrawal]]),N160+CkReg16_18[[#This Row],[Deposit]],N160-CkReg16_18[[#This Row],[Withdrawal]])</f>
        <v>18303.20800000001</v>
      </c>
      <c r="O161" s="324">
        <v>43018</v>
      </c>
      <c r="P161" s="323">
        <f>IF(ISBLANK(CkReg16_18[[#This Row],[Withdrawal]]),P160+CkReg16_18[[#This Row],[Deposit]],P160-CkReg16_18[[#This Row],[Withdrawal]])</f>
        <v>28093.20800000001</v>
      </c>
      <c r="Q161" s="333"/>
    </row>
    <row r="162" spans="7:17" s="330" customFormat="1" ht="13.8" x14ac:dyDescent="0.3">
      <c r="G162" s="321">
        <v>3176</v>
      </c>
      <c r="H162" s="322">
        <v>43015</v>
      </c>
      <c r="I162" s="307" t="s">
        <v>362</v>
      </c>
      <c r="J162" s="307" t="s">
        <v>694</v>
      </c>
      <c r="K162" s="307" t="s">
        <v>36</v>
      </c>
      <c r="L162" s="323">
        <v>20.85</v>
      </c>
      <c r="M162" s="335">
        <f>+'Check Register 2015'!M325</f>
        <v>0</v>
      </c>
      <c r="N162" s="323">
        <f>IF(ISBLANK(CkReg16_18[[#This Row],[Withdrawal]]),N161+CkReg16_18[[#This Row],[Deposit]],N161-CkReg16_18[[#This Row],[Withdrawal]])</f>
        <v>18282.358000000011</v>
      </c>
      <c r="O162" s="324">
        <v>43018</v>
      </c>
      <c r="P162" s="323">
        <f>IF(ISBLANK(CkReg16_18[[#This Row],[Withdrawal]]),P161+CkReg16_18[[#This Row],[Deposit]],P161-CkReg16_18[[#This Row],[Withdrawal]])</f>
        <v>28072.358000000011</v>
      </c>
      <c r="Q162" s="333"/>
    </row>
    <row r="163" spans="7:17" s="330" customFormat="1" ht="13.8" x14ac:dyDescent="0.3">
      <c r="G163" s="321">
        <v>3176</v>
      </c>
      <c r="H163" s="322">
        <v>43015</v>
      </c>
      <c r="I163" s="307" t="s">
        <v>362</v>
      </c>
      <c r="J163" s="307" t="s">
        <v>695</v>
      </c>
      <c r="K163" s="307" t="s">
        <v>389</v>
      </c>
      <c r="L163" s="323">
        <v>14.12</v>
      </c>
      <c r="M163" s="335">
        <f>+'Check Register 2015'!M326</f>
        <v>0</v>
      </c>
      <c r="N163" s="323">
        <f>IF(ISBLANK(CkReg16_18[[#This Row],[Withdrawal]]),N162+CkReg16_18[[#This Row],[Deposit]],N162-CkReg16_18[[#This Row],[Withdrawal]])</f>
        <v>18268.238000000012</v>
      </c>
      <c r="O163" s="324">
        <v>43018</v>
      </c>
      <c r="P163" s="323">
        <f>IF(ISBLANK(CkReg16_18[[#This Row],[Withdrawal]]),P162+CkReg16_18[[#This Row],[Deposit]],P162-CkReg16_18[[#This Row],[Withdrawal]])</f>
        <v>28058.238000000012</v>
      </c>
      <c r="Q163" s="333"/>
    </row>
    <row r="164" spans="7:17" s="330" customFormat="1" ht="13.8" x14ac:dyDescent="0.3">
      <c r="G164" s="321">
        <v>3176</v>
      </c>
      <c r="H164" s="322">
        <v>43015</v>
      </c>
      <c r="I164" s="307" t="s">
        <v>362</v>
      </c>
      <c r="J164" s="307" t="s">
        <v>696</v>
      </c>
      <c r="K164" s="307" t="s">
        <v>39</v>
      </c>
      <c r="L164" s="323">
        <v>75.62</v>
      </c>
      <c r="M164" s="335">
        <f>+'Check Register 2015'!M327</f>
        <v>0</v>
      </c>
      <c r="N164" s="323">
        <f>IF(ISBLANK(CkReg16_18[[#This Row],[Withdrawal]]),N163+CkReg16_18[[#This Row],[Deposit]],N163-CkReg16_18[[#This Row],[Withdrawal]])</f>
        <v>18192.618000000013</v>
      </c>
      <c r="O164" s="324">
        <v>43018</v>
      </c>
      <c r="P164" s="323">
        <f>IF(ISBLANK(CkReg16_18[[#This Row],[Withdrawal]]),P163+CkReg16_18[[#This Row],[Deposit]],P163-CkReg16_18[[#This Row],[Withdrawal]])</f>
        <v>27982.618000000013</v>
      </c>
      <c r="Q164" s="333"/>
    </row>
    <row r="165" spans="7:17" s="330" customFormat="1" ht="13.8" x14ac:dyDescent="0.3">
      <c r="G165" s="321">
        <v>3177</v>
      </c>
      <c r="H165" s="322">
        <v>43015</v>
      </c>
      <c r="I165" s="307" t="s">
        <v>630</v>
      </c>
      <c r="J165" s="307" t="s">
        <v>453</v>
      </c>
      <c r="K165" s="307" t="s">
        <v>52</v>
      </c>
      <c r="L165" s="323">
        <v>43.35</v>
      </c>
      <c r="M165" s="335"/>
      <c r="N165" s="323">
        <f>IF(ISBLANK(CkReg16_18[[#This Row],[Withdrawal]]),N164+CkReg16_18[[#This Row],[Deposit]],N164-CkReg16_18[[#This Row],[Withdrawal]])</f>
        <v>18149.268000000015</v>
      </c>
      <c r="O165" s="324">
        <v>43024</v>
      </c>
      <c r="P165" s="323">
        <f>IF(ISBLANK(CkReg16_18[[#This Row],[Withdrawal]]),P164+CkReg16_18[[#This Row],[Deposit]],P164-CkReg16_18[[#This Row],[Withdrawal]])</f>
        <v>27939.268000000015</v>
      </c>
      <c r="Q165" s="333"/>
    </row>
    <row r="166" spans="7:17" s="330" customFormat="1" ht="13.8" x14ac:dyDescent="0.3">
      <c r="G166" s="321">
        <v>3178</v>
      </c>
      <c r="H166" s="322">
        <v>43015</v>
      </c>
      <c r="I166" s="307" t="s">
        <v>172</v>
      </c>
      <c r="J166" s="307" t="s">
        <v>453</v>
      </c>
      <c r="K166" s="307" t="s">
        <v>70</v>
      </c>
      <c r="L166" s="323">
        <v>32.35</v>
      </c>
      <c r="M166" s="335"/>
      <c r="N166" s="323">
        <f>IF(ISBLANK(CkReg16_18[[#This Row],[Withdrawal]]),N165+CkReg16_18[[#This Row],[Deposit]],N165-CkReg16_18[[#This Row],[Withdrawal]])</f>
        <v>18116.918000000016</v>
      </c>
      <c r="O166" s="324">
        <v>43025</v>
      </c>
      <c r="P166" s="323">
        <f>IF(ISBLANK(CkReg16_18[[#This Row],[Withdrawal]]),P165+CkReg16_18[[#This Row],[Deposit]],P165-CkReg16_18[[#This Row],[Withdrawal]])</f>
        <v>27906.918000000016</v>
      </c>
      <c r="Q166" s="333"/>
    </row>
    <row r="167" spans="7:17" s="330" customFormat="1" ht="13.8" x14ac:dyDescent="0.3">
      <c r="G167" s="321">
        <v>3179</v>
      </c>
      <c r="H167" s="322">
        <v>43015</v>
      </c>
      <c r="I167" s="307" t="s">
        <v>84</v>
      </c>
      <c r="J167" s="307" t="s">
        <v>697</v>
      </c>
      <c r="K167" s="307" t="s">
        <v>61</v>
      </c>
      <c r="L167" s="323"/>
      <c r="M167" s="335">
        <v>-210</v>
      </c>
      <c r="N167" s="323">
        <f>IF(ISBLANK(CkReg16_18[[#This Row],[Withdrawal]]),N166+CkReg16_18[[#This Row],[Deposit]],N166-CkReg16_18[[#This Row],[Withdrawal]])</f>
        <v>17906.918000000016</v>
      </c>
      <c r="O167" s="324">
        <v>43018</v>
      </c>
      <c r="P167" s="323">
        <f>IF(ISBLANK(CkReg16_18[[#This Row],[Withdrawal]]),P166+CkReg16_18[[#This Row],[Deposit]],P166-CkReg16_18[[#This Row],[Withdrawal]])</f>
        <v>27696.918000000016</v>
      </c>
      <c r="Q167" s="333"/>
    </row>
    <row r="168" spans="7:17" s="330" customFormat="1" ht="13.8" x14ac:dyDescent="0.3">
      <c r="G168" s="321">
        <v>3180</v>
      </c>
      <c r="H168" s="322">
        <v>43015</v>
      </c>
      <c r="I168" s="307" t="s">
        <v>82</v>
      </c>
      <c r="J168" s="307"/>
      <c r="K168" s="307" t="s">
        <v>46</v>
      </c>
      <c r="L168" s="323">
        <v>913</v>
      </c>
      <c r="M168" s="335"/>
      <c r="N168" s="323">
        <f>IF(ISBLANK(CkReg16_18[[#This Row],[Withdrawal]]),N167+CkReg16_18[[#This Row],[Deposit]],N167-CkReg16_18[[#This Row],[Withdrawal]])</f>
        <v>16993.918000000016</v>
      </c>
      <c r="O168" s="324">
        <v>43021</v>
      </c>
      <c r="P168" s="323">
        <f>IF(ISBLANK(CkReg16_18[[#This Row],[Withdrawal]]),P167+CkReg16_18[[#This Row],[Deposit]],P167-CkReg16_18[[#This Row],[Withdrawal]])</f>
        <v>26783.918000000016</v>
      </c>
      <c r="Q168" s="333"/>
    </row>
    <row r="169" spans="7:17" s="330" customFormat="1" ht="13.8" x14ac:dyDescent="0.3">
      <c r="G169" s="321">
        <v>3181</v>
      </c>
      <c r="H169" s="322">
        <v>43015</v>
      </c>
      <c r="I169" s="307" t="s">
        <v>92</v>
      </c>
      <c r="J169" s="307" t="s">
        <v>698</v>
      </c>
      <c r="K169" s="307" t="s">
        <v>43</v>
      </c>
      <c r="L169" s="323">
        <v>75</v>
      </c>
      <c r="M169" s="323"/>
      <c r="N169" s="323">
        <f>IF(ISBLANK(CkReg16_18[[#This Row],[Withdrawal]]),N168+CkReg16_18[[#This Row],[Deposit]],N168-CkReg16_18[[#This Row],[Withdrawal]])</f>
        <v>16918.918000000016</v>
      </c>
      <c r="O169" s="324">
        <v>43025</v>
      </c>
      <c r="P169" s="323">
        <f>IF(ISBLANK(CkReg16_18[[#This Row],[Withdrawal]]),P168+CkReg16_18[[#This Row],[Deposit]],P168-CkReg16_18[[#This Row],[Withdrawal]])</f>
        <v>26708.918000000016</v>
      </c>
      <c r="Q169" s="333"/>
    </row>
    <row r="170" spans="7:17" s="330" customFormat="1" ht="13.8" x14ac:dyDescent="0.3">
      <c r="G170" s="321">
        <v>3182</v>
      </c>
      <c r="H170" s="322">
        <v>43015</v>
      </c>
      <c r="I170" s="307" t="s">
        <v>79</v>
      </c>
      <c r="J170" s="307"/>
      <c r="K170" s="307" t="s">
        <v>572</v>
      </c>
      <c r="L170" s="323">
        <f>530.3-251.77</f>
        <v>278.52999999999997</v>
      </c>
      <c r="M170" s="323"/>
      <c r="N170" s="323">
        <f>IF(ISBLANK(CkReg16_18[[#This Row],[Withdrawal]]),N169+CkReg16_18[[#This Row],[Deposit]],N169-CkReg16_18[[#This Row],[Withdrawal]])</f>
        <v>16640.388000000017</v>
      </c>
      <c r="O170" s="324">
        <v>43021</v>
      </c>
      <c r="P170" s="323">
        <f>IF(ISBLANK(CkReg16_18[[#This Row],[Withdrawal]]),P169+CkReg16_18[[#This Row],[Deposit]],P169-CkReg16_18[[#This Row],[Withdrawal]])</f>
        <v>26430.388000000017</v>
      </c>
      <c r="Q170" s="333"/>
    </row>
    <row r="171" spans="7:17" s="330" customFormat="1" ht="13.8" x14ac:dyDescent="0.3">
      <c r="G171" s="321">
        <v>3182</v>
      </c>
      <c r="H171" s="322">
        <v>43015</v>
      </c>
      <c r="I171" s="307" t="s">
        <v>79</v>
      </c>
      <c r="J171" s="307"/>
      <c r="K171" s="307" t="s">
        <v>36</v>
      </c>
      <c r="L171" s="323">
        <v>251.77</v>
      </c>
      <c r="M171" s="335">
        <f>+'Check Register 2015'!M334</f>
        <v>0</v>
      </c>
      <c r="N171" s="323">
        <f>IF(ISBLANK(CkReg16_18[[#This Row],[Withdrawal]]),N170+CkReg16_18[[#This Row],[Deposit]],N170-CkReg16_18[[#This Row],[Withdrawal]])</f>
        <v>16388.618000000017</v>
      </c>
      <c r="O171" s="324">
        <v>43021</v>
      </c>
      <c r="P171" s="323">
        <f>IF(ISBLANK(CkReg16_18[[#This Row],[Withdrawal]]),P170+CkReg16_18[[#This Row],[Deposit]],P170-CkReg16_18[[#This Row],[Withdrawal]])</f>
        <v>26178.618000000017</v>
      </c>
      <c r="Q171" s="333"/>
    </row>
    <row r="172" spans="7:17" s="330" customFormat="1" ht="13.8" x14ac:dyDescent="0.3">
      <c r="G172" s="321">
        <v>3183</v>
      </c>
      <c r="H172" s="322">
        <v>43015</v>
      </c>
      <c r="I172" s="307" t="s">
        <v>128</v>
      </c>
      <c r="J172" s="307"/>
      <c r="K172" s="307" t="s">
        <v>63</v>
      </c>
      <c r="L172" s="323">
        <v>84.45</v>
      </c>
      <c r="M172" s="323"/>
      <c r="N172" s="323">
        <f>IF(ISBLANK(CkReg16_18[[#This Row],[Withdrawal]]),N171+CkReg16_18[[#This Row],[Deposit]],N171-CkReg16_18[[#This Row],[Withdrawal]])</f>
        <v>16304.168000000016</v>
      </c>
      <c r="O172" s="324">
        <v>43019</v>
      </c>
      <c r="P172" s="323">
        <f>IF(ISBLANK(CkReg16_18[[#This Row],[Withdrawal]]),P171+CkReg16_18[[#This Row],[Deposit]],P171-CkReg16_18[[#This Row],[Withdrawal]])</f>
        <v>26094.168000000016</v>
      </c>
      <c r="Q172" s="333"/>
    </row>
    <row r="173" spans="7:17" s="330" customFormat="1" ht="13.8" x14ac:dyDescent="0.3">
      <c r="G173" s="321">
        <v>3183</v>
      </c>
      <c r="H173" s="322">
        <v>43015</v>
      </c>
      <c r="I173" s="307" t="s">
        <v>128</v>
      </c>
      <c r="J173" s="307"/>
      <c r="K173" s="307" t="s">
        <v>62</v>
      </c>
      <c r="L173" s="323">
        <v>91.53</v>
      </c>
      <c r="M173" s="335">
        <f>+'Check Register 2015'!M336</f>
        <v>0</v>
      </c>
      <c r="N173" s="323">
        <f>IF(ISBLANK(CkReg16_18[[#This Row],[Withdrawal]]),N172+CkReg16_18[[#This Row],[Deposit]],N172-CkReg16_18[[#This Row],[Withdrawal]])</f>
        <v>16212.638000000015</v>
      </c>
      <c r="O173" s="324">
        <v>43019</v>
      </c>
      <c r="P173" s="323">
        <f>IF(ISBLANK(CkReg16_18[[#This Row],[Withdrawal]]),P172+CkReg16_18[[#This Row],[Deposit]],P172-CkReg16_18[[#This Row],[Withdrawal]])</f>
        <v>26002.638000000017</v>
      </c>
      <c r="Q173" s="333"/>
    </row>
    <row r="174" spans="7:17" s="330" customFormat="1" ht="13.8" x14ac:dyDescent="0.3">
      <c r="G174" s="321">
        <v>3183</v>
      </c>
      <c r="H174" s="322">
        <v>43015</v>
      </c>
      <c r="I174" s="307" t="s">
        <v>128</v>
      </c>
      <c r="J174" s="307" t="s">
        <v>699</v>
      </c>
      <c r="K174" s="307" t="s">
        <v>66</v>
      </c>
      <c r="L174" s="323">
        <v>-13.01</v>
      </c>
      <c r="M174" s="335">
        <f>+'Check Register 2015'!M336</f>
        <v>0</v>
      </c>
      <c r="N174" s="323">
        <f>IF(ISBLANK(CkReg16_18[[#This Row],[Withdrawal]]),N173+CkReg16_18[[#This Row],[Deposit]],N173-CkReg16_18[[#This Row],[Withdrawal]])</f>
        <v>16225.648000000016</v>
      </c>
      <c r="O174" s="324">
        <v>43019</v>
      </c>
      <c r="P174" s="323">
        <f>IF(ISBLANK(CkReg16_18[[#This Row],[Withdrawal]]),P173+CkReg16_18[[#This Row],[Deposit]],P173-CkReg16_18[[#This Row],[Withdrawal]])</f>
        <v>26015.648000000016</v>
      </c>
      <c r="Q174" s="333"/>
    </row>
    <row r="175" spans="7:17" s="330" customFormat="1" ht="13.8" x14ac:dyDescent="0.3">
      <c r="G175" s="321">
        <v>3183</v>
      </c>
      <c r="H175" s="322">
        <v>43015</v>
      </c>
      <c r="I175" s="307" t="s">
        <v>128</v>
      </c>
      <c r="J175" s="307" t="s">
        <v>700</v>
      </c>
      <c r="K175" s="307" t="s">
        <v>73</v>
      </c>
      <c r="L175" s="323">
        <v>100</v>
      </c>
      <c r="M175" s="335">
        <f>+'Check Register 2015'!M337</f>
        <v>0</v>
      </c>
      <c r="N175" s="323">
        <f>IF(ISBLANK(CkReg16_18[[#This Row],[Withdrawal]]),N174+CkReg16_18[[#This Row],[Deposit]],N174-CkReg16_18[[#This Row],[Withdrawal]])</f>
        <v>16125.648000000016</v>
      </c>
      <c r="O175" s="324">
        <v>43019</v>
      </c>
      <c r="P175" s="323">
        <f>IF(ISBLANK(CkReg16_18[[#This Row],[Withdrawal]]),P174+CkReg16_18[[#This Row],[Deposit]],P174-CkReg16_18[[#This Row],[Withdrawal]])</f>
        <v>25915.648000000016</v>
      </c>
      <c r="Q175" s="333"/>
    </row>
    <row r="176" spans="7:17" s="330" customFormat="1" ht="13.8" x14ac:dyDescent="0.3">
      <c r="G176" s="321">
        <v>3184</v>
      </c>
      <c r="H176" s="322">
        <v>43015</v>
      </c>
      <c r="I176" s="307" t="s">
        <v>701</v>
      </c>
      <c r="J176" s="307"/>
      <c r="K176" s="307" t="s">
        <v>64</v>
      </c>
      <c r="L176" s="323">
        <v>51.45</v>
      </c>
      <c r="M176" s="323"/>
      <c r="N176" s="323">
        <f>IF(ISBLANK(CkReg16_18[[#This Row],[Withdrawal]]),N175+CkReg16_18[[#This Row],[Deposit]],N175-CkReg16_18[[#This Row],[Withdrawal]])</f>
        <v>16074.198000000015</v>
      </c>
      <c r="O176" s="324">
        <v>43049</v>
      </c>
      <c r="P176" s="323">
        <f>IF(ISBLANK(CkReg16_18[[#This Row],[Withdrawal]]),P175+CkReg16_18[[#This Row],[Deposit]],P175-CkReg16_18[[#This Row],[Withdrawal]])</f>
        <v>25864.198000000015</v>
      </c>
      <c r="Q176" s="333"/>
    </row>
    <row r="177" spans="4:18" s="330" customFormat="1" ht="13.8" x14ac:dyDescent="0.3">
      <c r="G177" s="321">
        <v>3185</v>
      </c>
      <c r="H177" s="322">
        <v>43015</v>
      </c>
      <c r="I177" s="307" t="s">
        <v>259</v>
      </c>
      <c r="J177" s="307" t="s">
        <v>702</v>
      </c>
      <c r="K177" s="307" t="s">
        <v>34</v>
      </c>
      <c r="L177" s="323">
        <v>300</v>
      </c>
      <c r="M177" s="323"/>
      <c r="N177" s="323">
        <f>IF(ISBLANK(CkReg16_18[[#This Row],[Withdrawal]]),N176+CkReg16_18[[#This Row],[Deposit]],N176-CkReg16_18[[#This Row],[Withdrawal]])</f>
        <v>15774.198000000015</v>
      </c>
      <c r="O177" s="324">
        <v>43025</v>
      </c>
      <c r="P177" s="323">
        <f>IF(ISBLANK(CkReg16_18[[#This Row],[Withdrawal]]),P176+CkReg16_18[[#This Row],[Deposit]],P176-CkReg16_18[[#This Row],[Withdrawal]])</f>
        <v>25564.198000000015</v>
      </c>
      <c r="Q177" s="333"/>
    </row>
    <row r="178" spans="4:18" s="330" customFormat="1" ht="13.8" x14ac:dyDescent="0.3">
      <c r="D178" s="330" t="s">
        <v>142</v>
      </c>
      <c r="G178" s="321">
        <v>3186</v>
      </c>
      <c r="H178" s="322">
        <v>43015</v>
      </c>
      <c r="I178" s="307" t="s">
        <v>80</v>
      </c>
      <c r="J178" s="307"/>
      <c r="K178" s="307" t="s">
        <v>36</v>
      </c>
      <c r="L178" s="323">
        <v>70</v>
      </c>
      <c r="M178" s="335">
        <f>+'Check Register 2015'!M341</f>
        <v>0</v>
      </c>
      <c r="N178" s="323">
        <f>IF(ISBLANK(CkReg16_18[[#This Row],[Withdrawal]]),N177+CkReg16_18[[#This Row],[Deposit]],N177-CkReg16_18[[#This Row],[Withdrawal]])</f>
        <v>15704.198000000015</v>
      </c>
      <c r="O178" s="324">
        <v>43056</v>
      </c>
      <c r="P178" s="323">
        <f>IF(ISBLANK(CkReg16_18[[#This Row],[Withdrawal]]),P177+CkReg16_18[[#This Row],[Deposit]],P177-CkReg16_18[[#This Row],[Withdrawal]])</f>
        <v>25494.198000000015</v>
      </c>
      <c r="Q178" s="333"/>
    </row>
    <row r="179" spans="4:18" s="330" customFormat="1" ht="13.8" x14ac:dyDescent="0.3">
      <c r="G179" s="321">
        <v>3186</v>
      </c>
      <c r="H179" s="322">
        <v>43015</v>
      </c>
      <c r="I179" s="307" t="s">
        <v>80</v>
      </c>
      <c r="J179" s="307"/>
      <c r="K179" s="307" t="s">
        <v>389</v>
      </c>
      <c r="L179" s="323">
        <v>162.99</v>
      </c>
      <c r="M179" s="335">
        <f>+'Check Register 2015'!M342</f>
        <v>0</v>
      </c>
      <c r="N179" s="323">
        <f>IF(ISBLANK(CkReg16_18[[#This Row],[Withdrawal]]),N178+CkReg16_18[[#This Row],[Deposit]],N178-CkReg16_18[[#This Row],[Withdrawal]])</f>
        <v>15541.208000000015</v>
      </c>
      <c r="O179" s="324">
        <v>43056</v>
      </c>
      <c r="P179" s="323">
        <f>IF(ISBLANK(CkReg16_18[[#This Row],[Withdrawal]]),P178+CkReg16_18[[#This Row],[Deposit]],P178-CkReg16_18[[#This Row],[Withdrawal]])</f>
        <v>25331.208000000013</v>
      </c>
      <c r="Q179" s="333"/>
    </row>
    <row r="180" spans="4:18" s="330" customFormat="1" ht="13.8" x14ac:dyDescent="0.3">
      <c r="G180" s="321">
        <v>3187</v>
      </c>
      <c r="H180" s="322">
        <v>43017</v>
      </c>
      <c r="I180" s="307" t="s">
        <v>632</v>
      </c>
      <c r="J180" s="307" t="s">
        <v>548</v>
      </c>
      <c r="K180" s="307" t="s">
        <v>51</v>
      </c>
      <c r="L180" s="323">
        <v>80</v>
      </c>
      <c r="M180" s="335">
        <f>+'Check Register 2015'!M343</f>
        <v>0</v>
      </c>
      <c r="N180" s="323">
        <f>IF(ISBLANK(CkReg16_18[[#This Row],[Withdrawal]]),N179+CkReg16_18[[#This Row],[Deposit]],N179-CkReg16_18[[#This Row],[Withdrawal]])</f>
        <v>15461.208000000015</v>
      </c>
      <c r="O180" s="324">
        <v>43024</v>
      </c>
      <c r="P180" s="323">
        <f>IF(ISBLANK(CkReg16_18[[#This Row],[Withdrawal]]),P179+CkReg16_18[[#This Row],[Deposit]],P179-CkReg16_18[[#This Row],[Withdrawal]])</f>
        <v>25251.208000000013</v>
      </c>
      <c r="Q180" s="333"/>
    </row>
    <row r="181" spans="4:18" s="330" customFormat="1" ht="13.8" x14ac:dyDescent="0.3">
      <c r="G181" s="321">
        <v>3188</v>
      </c>
      <c r="H181" s="322">
        <v>43034</v>
      </c>
      <c r="I181" s="307" t="s">
        <v>706</v>
      </c>
      <c r="J181" s="307" t="s">
        <v>707</v>
      </c>
      <c r="K181" s="307" t="s">
        <v>34</v>
      </c>
      <c r="L181" s="323">
        <v>157.99</v>
      </c>
      <c r="M181" s="335">
        <f>+'Check Register 2015'!M344</f>
        <v>0</v>
      </c>
      <c r="N181" s="323">
        <f>IF(ISBLANK(CkReg16_18[[#This Row],[Withdrawal]]),N180+CkReg16_18[[#This Row],[Deposit]],N180-CkReg16_18[[#This Row],[Withdrawal]])</f>
        <v>15303.218000000015</v>
      </c>
      <c r="O181" s="324">
        <v>43038</v>
      </c>
      <c r="P181" s="323">
        <f>IF(ISBLANK(CkReg16_18[[#This Row],[Withdrawal]]),P180+CkReg16_18[[#This Row],[Deposit]],P180-CkReg16_18[[#This Row],[Withdrawal]])</f>
        <v>25093.218000000012</v>
      </c>
      <c r="Q181" s="333"/>
    </row>
    <row r="182" spans="4:18" s="330" customFormat="1" ht="13.8" x14ac:dyDescent="0.3">
      <c r="G182" s="321">
        <v>3189</v>
      </c>
      <c r="H182" s="322">
        <v>43037</v>
      </c>
      <c r="I182" s="307" t="s">
        <v>259</v>
      </c>
      <c r="J182" s="307" t="s">
        <v>708</v>
      </c>
      <c r="K182" s="307" t="s">
        <v>34</v>
      </c>
      <c r="L182" s="323">
        <v>169</v>
      </c>
      <c r="M182" s="335">
        <f>+'Check Register 2015'!M345</f>
        <v>0</v>
      </c>
      <c r="N182" s="323">
        <f>IF(ISBLANK(CkReg16_18[[#This Row],[Withdrawal]]),N181+CkReg16_18[[#This Row],[Deposit]],N181-CkReg16_18[[#This Row],[Withdrawal]])</f>
        <v>15134.218000000015</v>
      </c>
      <c r="O182" s="324">
        <v>43025</v>
      </c>
      <c r="P182" s="323">
        <f>IF(ISBLANK(CkReg16_18[[#This Row],[Withdrawal]]),P181+CkReg16_18[[#This Row],[Deposit]],P181-CkReg16_18[[#This Row],[Withdrawal]])</f>
        <v>24924.218000000012</v>
      </c>
      <c r="Q182" s="333"/>
    </row>
    <row r="183" spans="4:18" s="330" customFormat="1" ht="13.8" x14ac:dyDescent="0.3">
      <c r="G183" s="321"/>
      <c r="H183" s="322">
        <v>43039</v>
      </c>
      <c r="I183" s="307"/>
      <c r="J183" s="307"/>
      <c r="K183" s="307" t="s">
        <v>91</v>
      </c>
      <c r="L183" s="323"/>
      <c r="M183" s="335">
        <v>1</v>
      </c>
      <c r="N183" s="323">
        <f>IF(ISBLANK(CkReg16_18[[#This Row],[Withdrawal]]),N182+CkReg16_18[[#This Row],[Deposit]],N182-CkReg16_18[[#This Row],[Withdrawal]])</f>
        <v>15135.218000000015</v>
      </c>
      <c r="O183" s="324">
        <v>43039</v>
      </c>
      <c r="P183" s="323">
        <f>IF(ISBLANK(CkReg16_18[[#This Row],[Withdrawal]]),P182+CkReg16_18[[#This Row],[Deposit]],P182-CkReg16_18[[#This Row],[Withdrawal]])</f>
        <v>24925.218000000012</v>
      </c>
      <c r="Q183" s="333">
        <v>43039</v>
      </c>
    </row>
    <row r="184" spans="4:18" s="330" customFormat="1" ht="13.8" x14ac:dyDescent="0.3">
      <c r="G184" s="321">
        <v>47244</v>
      </c>
      <c r="H184" s="322">
        <v>43040</v>
      </c>
      <c r="I184" s="307" t="s">
        <v>545</v>
      </c>
      <c r="J184" s="307" t="s">
        <v>710</v>
      </c>
      <c r="K184" s="307" t="s">
        <v>389</v>
      </c>
      <c r="L184" s="323">
        <v>-68.75</v>
      </c>
      <c r="M184" s="335">
        <v>0</v>
      </c>
      <c r="N184" s="323">
        <f>IF(ISBLANK(CkReg16_18[[#This Row],[Withdrawal]]),N183+CkReg16_18[[#This Row],[Deposit]],N183-CkReg16_18[[#This Row],[Withdrawal]])</f>
        <v>15203.968000000015</v>
      </c>
      <c r="O184" s="324">
        <v>43040</v>
      </c>
      <c r="P184" s="323">
        <f>IF(ISBLANK(CkReg16_18[[#This Row],[Withdrawal]]),P183+CkReg16_18[[#This Row],[Deposit]],P183-CkReg16_18[[#This Row],[Withdrawal]])</f>
        <v>24993.968000000012</v>
      </c>
      <c r="Q184" s="333"/>
    </row>
    <row r="185" spans="4:18" s="330" customFormat="1" ht="13.8" x14ac:dyDescent="0.3">
      <c r="G185" s="321">
        <v>47245</v>
      </c>
      <c r="H185" s="322">
        <v>43040</v>
      </c>
      <c r="I185" s="307" t="s">
        <v>545</v>
      </c>
      <c r="J185" s="307" t="s">
        <v>710</v>
      </c>
      <c r="K185" s="307" t="s">
        <v>389</v>
      </c>
      <c r="L185" s="323">
        <v>-68.75</v>
      </c>
      <c r="M185" s="335">
        <v>0</v>
      </c>
      <c r="N185" s="323">
        <f>IF(ISBLANK(CkReg16_18[[#This Row],[Withdrawal]]),N184+CkReg16_18[[#This Row],[Deposit]],N184-CkReg16_18[[#This Row],[Withdrawal]])</f>
        <v>15272.718000000015</v>
      </c>
      <c r="O185" s="324">
        <v>43040</v>
      </c>
      <c r="P185" s="323">
        <f>IF(ISBLANK(CkReg16_18[[#This Row],[Withdrawal]]),P184+CkReg16_18[[#This Row],[Deposit]],P184-CkReg16_18[[#This Row],[Withdrawal]])</f>
        <v>25062.718000000012</v>
      </c>
      <c r="Q185" s="333"/>
    </row>
    <row r="186" spans="4:18" s="330" customFormat="1" ht="13.8" x14ac:dyDescent="0.3">
      <c r="G186" s="321">
        <v>47246</v>
      </c>
      <c r="H186" s="322">
        <v>43040</v>
      </c>
      <c r="I186" s="307" t="s">
        <v>709</v>
      </c>
      <c r="J186" s="307" t="s">
        <v>711</v>
      </c>
      <c r="K186" s="307" t="s">
        <v>33</v>
      </c>
      <c r="L186" s="323"/>
      <c r="M186" s="335">
        <v>129</v>
      </c>
      <c r="N186" s="323">
        <f>IF(ISBLANK(CkReg16_18[[#This Row],[Withdrawal]]),N185+CkReg16_18[[#This Row],[Deposit]],N185-CkReg16_18[[#This Row],[Withdrawal]])</f>
        <v>15401.718000000015</v>
      </c>
      <c r="O186" s="324">
        <v>43040</v>
      </c>
      <c r="P186" s="323">
        <f>IF(ISBLANK(CkReg16_18[[#This Row],[Withdrawal]]),P185+CkReg16_18[[#This Row],[Deposit]],P185-CkReg16_18[[#This Row],[Withdrawal]])</f>
        <v>25191.718000000012</v>
      </c>
      <c r="Q186" s="333"/>
      <c r="R186" s="351"/>
    </row>
    <row r="187" spans="4:18" s="330" customFormat="1" ht="13.8" x14ac:dyDescent="0.3">
      <c r="G187" s="321">
        <v>47247</v>
      </c>
      <c r="H187" s="322">
        <v>43056</v>
      </c>
      <c r="I187" s="307" t="s">
        <v>676</v>
      </c>
      <c r="J187" s="307"/>
      <c r="K187" s="307" t="s">
        <v>60</v>
      </c>
      <c r="L187" s="323"/>
      <c r="M187" s="335">
        <v>23.97</v>
      </c>
      <c r="N187" s="323">
        <f>IF(ISBLANK(CkReg16_18[[#This Row],[Withdrawal]]),N186+CkReg16_18[[#This Row],[Deposit]],N186-CkReg16_18[[#This Row],[Withdrawal]])</f>
        <v>15425.688000000015</v>
      </c>
      <c r="O187" s="324">
        <v>43052</v>
      </c>
      <c r="P187" s="323">
        <f>IF(ISBLANK(CkReg16_18[[#This Row],[Withdrawal]]),P186+CkReg16_18[[#This Row],[Deposit]],P186-CkReg16_18[[#This Row],[Withdrawal]])</f>
        <v>25215.688000000013</v>
      </c>
      <c r="Q187" s="333"/>
    </row>
    <row r="188" spans="4:18" s="330" customFormat="1" ht="13.8" x14ac:dyDescent="0.3">
      <c r="G188" s="321">
        <v>3190</v>
      </c>
      <c r="H188" s="322">
        <v>43065</v>
      </c>
      <c r="I188" s="307" t="s">
        <v>79</v>
      </c>
      <c r="J188" s="307"/>
      <c r="K188" s="307" t="s">
        <v>572</v>
      </c>
      <c r="L188" s="323">
        <f>85.94+28.08</f>
        <v>114.02</v>
      </c>
      <c r="M188" s="335">
        <f>+'Check Register 2015'!M349</f>
        <v>0</v>
      </c>
      <c r="N188" s="323">
        <f>IF(ISBLANK(CkReg16_18[[#This Row],[Withdrawal]]),N187+CkReg16_18[[#This Row],[Deposit]],N187-CkReg16_18[[#This Row],[Withdrawal]])</f>
        <v>15311.668000000014</v>
      </c>
      <c r="O188" s="324">
        <v>43144</v>
      </c>
      <c r="P188" s="323">
        <f>IF(ISBLANK(CkReg16_18[[#This Row],[Withdrawal]]),P187+CkReg16_18[[#This Row],[Deposit]],P187-CkReg16_18[[#This Row],[Withdrawal]])</f>
        <v>25101.668000000012</v>
      </c>
      <c r="Q188" s="333"/>
    </row>
    <row r="189" spans="4:18" s="330" customFormat="1" ht="13.8" x14ac:dyDescent="0.3">
      <c r="G189" s="321">
        <v>3190</v>
      </c>
      <c r="H189" s="322">
        <v>43065</v>
      </c>
      <c r="I189" s="307" t="s">
        <v>79</v>
      </c>
      <c r="J189" s="307"/>
      <c r="K189" s="307" t="s">
        <v>573</v>
      </c>
      <c r="L189" s="323">
        <v>57.92</v>
      </c>
      <c r="M189" s="335">
        <f>+'Check Register 2015'!M350</f>
        <v>0</v>
      </c>
      <c r="N189" s="323">
        <f>IF(ISBLANK(CkReg16_18[[#This Row],[Withdrawal]]),N188+CkReg16_18[[#This Row],[Deposit]],N188-CkReg16_18[[#This Row],[Withdrawal]])</f>
        <v>15253.748000000014</v>
      </c>
      <c r="O189" s="324">
        <v>43144</v>
      </c>
      <c r="P189" s="323">
        <f>IF(ISBLANK(CkReg16_18[[#This Row],[Withdrawal]]),P188+CkReg16_18[[#This Row],[Deposit]],P188-CkReg16_18[[#This Row],[Withdrawal]])</f>
        <v>25043.748000000014</v>
      </c>
      <c r="Q189" s="333"/>
    </row>
    <row r="190" spans="4:18" s="330" customFormat="1" ht="13.8" x14ac:dyDescent="0.3">
      <c r="G190" s="321">
        <v>3190</v>
      </c>
      <c r="H190" s="322">
        <v>43065</v>
      </c>
      <c r="I190" s="307" t="s">
        <v>79</v>
      </c>
      <c r="J190" s="307"/>
      <c r="K190" s="307" t="s">
        <v>36</v>
      </c>
      <c r="L190" s="323">
        <v>8.06</v>
      </c>
      <c r="M190" s="335">
        <f>+'Check Register 2015'!M351</f>
        <v>0</v>
      </c>
      <c r="N190" s="323">
        <f>IF(ISBLANK(CkReg16_18[[#This Row],[Withdrawal]]),N189+CkReg16_18[[#This Row],[Deposit]],N189-CkReg16_18[[#This Row],[Withdrawal]])</f>
        <v>15245.688000000015</v>
      </c>
      <c r="O190" s="324">
        <v>43144</v>
      </c>
      <c r="P190" s="323">
        <f>IF(ISBLANK(CkReg16_18[[#This Row],[Withdrawal]]),P189+CkReg16_18[[#This Row],[Deposit]],P189-CkReg16_18[[#This Row],[Withdrawal]])</f>
        <v>25035.688000000013</v>
      </c>
      <c r="Q190" s="333"/>
    </row>
    <row r="191" spans="4:18" s="330" customFormat="1" ht="13.8" x14ac:dyDescent="0.3">
      <c r="G191" s="321">
        <v>3191</v>
      </c>
      <c r="H191" s="322">
        <v>43066</v>
      </c>
      <c r="I191" s="307" t="s">
        <v>600</v>
      </c>
      <c r="J191" s="307"/>
      <c r="K191" s="307"/>
      <c r="L191" s="323">
        <v>0</v>
      </c>
      <c r="M191" s="335">
        <f>+'Check Register 2015'!M361</f>
        <v>0</v>
      </c>
      <c r="N191" s="323">
        <f>IF(ISBLANK(CkReg16_18[[#This Row],[Withdrawal]]),N190+CkReg16_18[[#This Row],[Deposit]],N190-CkReg16_18[[#This Row],[Withdrawal]])</f>
        <v>15245.688000000015</v>
      </c>
      <c r="O191" s="324">
        <v>43069</v>
      </c>
      <c r="P191" s="323">
        <f>IF(ISBLANK(CkReg16_18[[#This Row],[Withdrawal]]),P190+CkReg16_18[[#This Row],[Deposit]],P190-CkReg16_18[[#This Row],[Withdrawal]])</f>
        <v>25035.688000000013</v>
      </c>
      <c r="Q191" s="333"/>
    </row>
    <row r="192" spans="4:18" s="330" customFormat="1" ht="13.8" x14ac:dyDescent="0.3">
      <c r="G192" s="321">
        <v>3192</v>
      </c>
      <c r="H192" s="322">
        <v>43066</v>
      </c>
      <c r="I192" s="307" t="s">
        <v>712</v>
      </c>
      <c r="J192" s="307"/>
      <c r="K192" s="307" t="s">
        <v>69</v>
      </c>
      <c r="L192" s="352">
        <f>13042-7235</f>
        <v>5807</v>
      </c>
      <c r="M192" s="335">
        <f>+'Check Register 2015'!M352</f>
        <v>0</v>
      </c>
      <c r="N192" s="323">
        <f>IF(ISBLANK(CkReg16_18[[#This Row],[Withdrawal]]),N191+CkReg16_18[[#This Row],[Deposit]],N191-CkReg16_18[[#This Row],[Withdrawal]])</f>
        <v>9438.6880000000147</v>
      </c>
      <c r="O192" s="324">
        <v>43077</v>
      </c>
      <c r="P192" s="323">
        <f>IF(ISBLANK(CkReg16_18[[#This Row],[Withdrawal]]),P191+CkReg16_18[[#This Row],[Deposit]],P191-CkReg16_18[[#This Row],[Withdrawal]])</f>
        <v>19228.688000000013</v>
      </c>
      <c r="Q192" s="333"/>
    </row>
    <row r="193" spans="7:17" s="330" customFormat="1" ht="13.8" x14ac:dyDescent="0.3">
      <c r="G193" s="321">
        <v>3192</v>
      </c>
      <c r="H193" s="322">
        <v>43066</v>
      </c>
      <c r="I193" s="307" t="s">
        <v>712</v>
      </c>
      <c r="J193" s="307"/>
      <c r="K193" s="307" t="s">
        <v>66</v>
      </c>
      <c r="L193" s="323">
        <v>7235</v>
      </c>
      <c r="M193" s="335">
        <f>+'Check Register 2015'!M353</f>
        <v>0</v>
      </c>
      <c r="N193" s="323">
        <f>IF(ISBLANK(CkReg16_18[[#This Row],[Withdrawal]]),N192+CkReg16_18[[#This Row],[Deposit]],N192-CkReg16_18[[#This Row],[Withdrawal]])</f>
        <v>2203.6880000000147</v>
      </c>
      <c r="O193" s="324">
        <v>43077</v>
      </c>
      <c r="P193" s="323">
        <f>IF(ISBLANK(CkReg16_18[[#This Row],[Withdrawal]]),P192+CkReg16_18[[#This Row],[Deposit]],P192-CkReg16_18[[#This Row],[Withdrawal]])</f>
        <v>11993.688000000013</v>
      </c>
      <c r="Q193" s="333"/>
    </row>
    <row r="194" spans="7:17" s="330" customFormat="1" ht="13.8" x14ac:dyDescent="0.3">
      <c r="G194" s="321">
        <v>3193</v>
      </c>
      <c r="H194" s="322">
        <v>43069</v>
      </c>
      <c r="I194" s="307" t="s">
        <v>362</v>
      </c>
      <c r="J194" s="307"/>
      <c r="K194" s="307" t="s">
        <v>39</v>
      </c>
      <c r="L194" s="323">
        <v>30.65</v>
      </c>
      <c r="M194" s="335">
        <f>+'Check Register 2015'!M364</f>
        <v>0</v>
      </c>
      <c r="N194" s="323">
        <f>IF(ISBLANK(CkReg16_18[[#This Row],[Withdrawal]]),N193+CkReg16_18[[#This Row],[Deposit]],N193-CkReg16_18[[#This Row],[Withdrawal]])</f>
        <v>2173.0380000000146</v>
      </c>
      <c r="O194" s="324">
        <v>43080</v>
      </c>
      <c r="P194" s="323">
        <f>IF(ISBLANK(CkReg16_18[[#This Row],[Withdrawal]]),P193+CkReg16_18[[#This Row],[Deposit]],P193-CkReg16_18[[#This Row],[Withdrawal]])</f>
        <v>11963.038000000013</v>
      </c>
      <c r="Q194" s="333"/>
    </row>
    <row r="195" spans="7:17" s="330" customFormat="1" ht="13.8" x14ac:dyDescent="0.3">
      <c r="G195" s="321">
        <v>3194</v>
      </c>
      <c r="H195" s="322">
        <v>43069</v>
      </c>
      <c r="I195" s="307" t="s">
        <v>156</v>
      </c>
      <c r="J195" s="307"/>
      <c r="K195" s="307" t="s">
        <v>34</v>
      </c>
      <c r="L195" s="323">
        <v>24.92</v>
      </c>
      <c r="M195" s="335">
        <f>+'Check Register 2015'!M365</f>
        <v>0</v>
      </c>
      <c r="N195" s="323">
        <f>IF(ISBLANK(CkReg16_18[[#This Row],[Withdrawal]]),N194+CkReg16_18[[#This Row],[Deposit]],N194-CkReg16_18[[#This Row],[Withdrawal]])</f>
        <v>2148.1180000000145</v>
      </c>
      <c r="O195" s="324">
        <v>43084</v>
      </c>
      <c r="P195" s="323">
        <f>IF(ISBLANK(CkReg16_18[[#This Row],[Withdrawal]]),P194+CkReg16_18[[#This Row],[Deposit]],P194-CkReg16_18[[#This Row],[Withdrawal]])</f>
        <v>11938.118000000013</v>
      </c>
      <c r="Q195" s="333"/>
    </row>
    <row r="196" spans="7:17" s="330" customFormat="1" ht="13.8" x14ac:dyDescent="0.3">
      <c r="G196" s="321">
        <v>47248</v>
      </c>
      <c r="H196" s="322">
        <v>43069</v>
      </c>
      <c r="I196" s="307" t="s">
        <v>156</v>
      </c>
      <c r="J196" s="307"/>
      <c r="K196" s="307" t="s">
        <v>571</v>
      </c>
      <c r="L196" s="323"/>
      <c r="M196" s="335">
        <v>149.53</v>
      </c>
      <c r="N196" s="323">
        <f>IF(ISBLANK(CkReg16_18[[#This Row],[Withdrawal]]),N195+CkReg16_18[[#This Row],[Deposit]],N195-CkReg16_18[[#This Row],[Withdrawal]])</f>
        <v>2297.6480000000147</v>
      </c>
      <c r="O196" s="324">
        <v>43080</v>
      </c>
      <c r="P196" s="323">
        <f>IF(ISBLANK(CkReg16_18[[#This Row],[Withdrawal]]),P195+CkReg16_18[[#This Row],[Deposit]],P195-CkReg16_18[[#This Row],[Withdrawal]])</f>
        <v>12087.648000000014</v>
      </c>
      <c r="Q196" s="333"/>
    </row>
    <row r="197" spans="7:17" s="330" customFormat="1" ht="13.8" x14ac:dyDescent="0.3">
      <c r="G197" s="353"/>
      <c r="H197" s="322">
        <v>43434</v>
      </c>
      <c r="I197" s="307"/>
      <c r="J197" s="307"/>
      <c r="K197" s="307" t="s">
        <v>91</v>
      </c>
      <c r="L197" s="323"/>
      <c r="M197" s="335">
        <v>1.03</v>
      </c>
      <c r="N197" s="323">
        <f>IF(ISBLANK(CkReg16_18[[#This Row],[Withdrawal]]),N196+CkReg16_18[[#This Row],[Deposit]],N196-CkReg16_18[[#This Row],[Withdrawal]])</f>
        <v>2298.6780000000149</v>
      </c>
      <c r="O197" s="324">
        <v>43069</v>
      </c>
      <c r="P197" s="323">
        <f>IF(ISBLANK(CkReg16_18[[#This Row],[Withdrawal]]),P196+CkReg16_18[[#This Row],[Deposit]],P196-CkReg16_18[[#This Row],[Withdrawal]])</f>
        <v>12088.678000000014</v>
      </c>
      <c r="Q197" s="333">
        <v>43069</v>
      </c>
    </row>
    <row r="198" spans="7:17" s="330" customFormat="1" ht="13.8" x14ac:dyDescent="0.3">
      <c r="G198" s="353">
        <v>3195</v>
      </c>
      <c r="H198" s="322">
        <v>43069</v>
      </c>
      <c r="I198" s="307" t="s">
        <v>701</v>
      </c>
      <c r="J198" s="307" t="s">
        <v>722</v>
      </c>
      <c r="K198" s="307" t="s">
        <v>65</v>
      </c>
      <c r="L198" s="323">
        <v>55.47</v>
      </c>
      <c r="M198" s="335">
        <f>+'Check Register 2015'!M348</f>
        <v>0</v>
      </c>
      <c r="N198" s="323">
        <f>IF(ISBLANK(CkReg16_18[[#This Row],[Withdrawal]]),N197+CkReg16_18[[#This Row],[Deposit]],N197-CkReg16_18[[#This Row],[Withdrawal]])</f>
        <v>2243.2080000000151</v>
      </c>
      <c r="O198" s="324">
        <v>43082</v>
      </c>
      <c r="P198" s="323">
        <f>IF(ISBLANK(CkReg16_18[[#This Row],[Withdrawal]]),P197+CkReg16_18[[#This Row],[Deposit]],P197-CkReg16_18[[#This Row],[Withdrawal]])</f>
        <v>12033.208000000015</v>
      </c>
      <c r="Q198" s="333"/>
    </row>
    <row r="199" spans="7:17" s="330" customFormat="1" ht="13.8" x14ac:dyDescent="0.3">
      <c r="G199" s="321"/>
      <c r="H199" s="322"/>
      <c r="I199" s="307"/>
      <c r="J199" s="307"/>
      <c r="K199" s="307"/>
      <c r="L199" s="323"/>
      <c r="M199" s="335">
        <f>+'Check Register 2015'!M349</f>
        <v>0</v>
      </c>
      <c r="N199" s="323">
        <f>IF(ISBLANK(CkReg16_18[[#This Row],[Withdrawal]]),N198+CkReg16_18[[#This Row],[Deposit]],N198-CkReg16_18[[#This Row],[Withdrawal]])</f>
        <v>2243.2080000000151</v>
      </c>
      <c r="O199" s="324"/>
      <c r="P199" s="323">
        <f>IF(ISBLANK(CkReg16_18[[#This Row],[Withdrawal]]),P198+CkReg16_18[[#This Row],[Deposit]],P198-CkReg16_18[[#This Row],[Withdrawal]])</f>
        <v>12033.208000000015</v>
      </c>
      <c r="Q199" s="333"/>
    </row>
    <row r="200" spans="7:17" s="330" customFormat="1" ht="13.8" x14ac:dyDescent="0.3">
      <c r="G200" s="321"/>
      <c r="H200" s="322"/>
      <c r="I200" s="307"/>
      <c r="J200" s="307"/>
      <c r="K200" s="307"/>
      <c r="L200" s="323"/>
      <c r="M200" s="335">
        <f>+'Check Register 2015'!M346</f>
        <v>0</v>
      </c>
      <c r="N200" s="323">
        <f>IF(ISBLANK(CkReg16_18[[#This Row],[Withdrawal]]),N199+CkReg16_18[[#This Row],[Deposit]],N199-CkReg16_18[[#This Row],[Withdrawal]])</f>
        <v>2243.2080000000151</v>
      </c>
      <c r="O200" s="324"/>
      <c r="P200" s="323">
        <f>IF(ISBLANK(CkReg16_18[[#This Row],[Withdrawal]]),P199+CkReg16_18[[#This Row],[Deposit]],P199-CkReg16_18[[#This Row],[Withdrawal]])</f>
        <v>12033.208000000015</v>
      </c>
      <c r="Q200" s="333"/>
    </row>
    <row r="201" spans="7:17" s="330" customFormat="1" ht="13.8" x14ac:dyDescent="0.3">
      <c r="G201" s="321"/>
      <c r="H201" s="322"/>
      <c r="I201" s="307"/>
      <c r="J201" s="307"/>
      <c r="K201" s="307"/>
      <c r="L201" s="323"/>
      <c r="M201" s="335">
        <f>+'Check Register 2015'!M347</f>
        <v>0</v>
      </c>
      <c r="N201" s="323">
        <f>IF(ISBLANK(CkReg16_18[[#This Row],[Withdrawal]]),N200+CkReg16_18[[#This Row],[Deposit]],N200-CkReg16_18[[#This Row],[Withdrawal]])</f>
        <v>2243.2080000000151</v>
      </c>
      <c r="O201" s="324"/>
      <c r="P201" s="323">
        <f>IF(ISBLANK(CkReg16_18[[#This Row],[Withdrawal]]),P200+CkReg16_18[[#This Row],[Deposit]],P200-CkReg16_18[[#This Row],[Withdrawal]])</f>
        <v>12033.208000000015</v>
      </c>
      <c r="Q201" s="333"/>
    </row>
    <row r="202" spans="7:17" s="330" customFormat="1" ht="13.8" x14ac:dyDescent="0.3">
      <c r="G202" s="321"/>
      <c r="H202" s="322"/>
      <c r="I202" s="307"/>
      <c r="J202" s="307"/>
      <c r="K202" s="307"/>
      <c r="L202" s="323"/>
      <c r="M202" s="335">
        <f>+'Check Register 2015'!M346</f>
        <v>0</v>
      </c>
      <c r="N202" s="323">
        <f>IF(ISBLANK(CkReg16_18[[#This Row],[Withdrawal]]),N201+CkReg16_18[[#This Row],[Deposit]],N201-CkReg16_18[[#This Row],[Withdrawal]])</f>
        <v>2243.2080000000151</v>
      </c>
      <c r="O202" s="324"/>
      <c r="P202" s="323">
        <f>IF(ISBLANK(CkReg16_18[[#This Row],[Withdrawal]]),P201+CkReg16_18[[#This Row],[Deposit]],P201-CkReg16_18[[#This Row],[Withdrawal]])</f>
        <v>12033.208000000015</v>
      </c>
      <c r="Q202" s="333"/>
    </row>
    <row r="203" spans="7:17" s="330" customFormat="1" ht="13.8" x14ac:dyDescent="0.3">
      <c r="G203" s="321"/>
      <c r="H203" s="322"/>
      <c r="I203" s="307"/>
      <c r="J203" s="307"/>
      <c r="K203" s="307"/>
      <c r="L203" s="323"/>
      <c r="M203" s="335">
        <f>+'Check Register 2015'!M341</f>
        <v>0</v>
      </c>
      <c r="N203" s="323">
        <f>IF(ISBLANK(CkReg16_18[[#This Row],[Withdrawal]]),N202+CkReg16_18[[#This Row],[Deposit]],N202-CkReg16_18[[#This Row],[Withdrawal]])</f>
        <v>2243.2080000000151</v>
      </c>
      <c r="O203" s="324"/>
      <c r="P203" s="323">
        <f>IF(ISBLANK(CkReg16_18[[#This Row],[Withdrawal]]),P202+CkReg16_18[[#This Row],[Deposit]],P202-CkReg16_18[[#This Row],[Withdrawal]])</f>
        <v>12033.208000000015</v>
      </c>
      <c r="Q203" s="333"/>
    </row>
    <row r="204" spans="7:17" s="330" customFormat="1" ht="13.8" x14ac:dyDescent="0.3">
      <c r="G204" s="363"/>
      <c r="H204" s="364"/>
      <c r="I204" s="365"/>
      <c r="J204" s="365"/>
      <c r="K204" s="365"/>
      <c r="L204" s="366">
        <f>SUBTOTAL(109,CkReg16_18[Withdrawal])</f>
        <v>34984.151999999995</v>
      </c>
      <c r="M204" s="367">
        <f>SUBTOTAL(109,CkReg16_18[Deposit])</f>
        <v>37227.360000000008</v>
      </c>
      <c r="N204" s="366">
        <f>CkReg16_18[[#Totals],[Deposit]]-CkReg16_18[[#Totals],[Withdrawal]]</f>
        <v>2243.2080000000133</v>
      </c>
      <c r="O204" s="368"/>
      <c r="P204" s="369"/>
      <c r="Q204" s="368"/>
    </row>
    <row r="205" spans="7:17" s="330" customFormat="1" ht="13.8" x14ac:dyDescent="0.3">
      <c r="G205" s="354"/>
      <c r="H205" s="355"/>
      <c r="I205" s="354"/>
      <c r="J205" s="354"/>
      <c r="K205" s="354"/>
      <c r="L205" s="351"/>
      <c r="M205" s="351"/>
      <c r="N205" s="354"/>
      <c r="O205" s="355"/>
      <c r="P205" s="356"/>
      <c r="Q205" s="355"/>
    </row>
    <row r="206" spans="7:17" s="330" customFormat="1" ht="13.8" x14ac:dyDescent="0.3">
      <c r="G206" s="354"/>
      <c r="H206" s="355"/>
      <c r="I206" s="354"/>
      <c r="J206" s="354"/>
      <c r="K206" s="354"/>
      <c r="L206" s="357"/>
      <c r="M206" s="351"/>
      <c r="N206" s="354"/>
      <c r="O206" s="355"/>
      <c r="P206" s="356"/>
      <c r="Q206" s="355"/>
    </row>
    <row r="207" spans="7:17" s="330" customFormat="1" ht="13.8" x14ac:dyDescent="0.3">
      <c r="G207" s="354"/>
      <c r="H207" s="355"/>
      <c r="I207" s="354"/>
      <c r="J207" s="354"/>
      <c r="K207" s="354"/>
      <c r="L207" s="357"/>
      <c r="M207" s="351"/>
      <c r="N207" s="354"/>
      <c r="O207" s="355"/>
      <c r="P207" s="356"/>
      <c r="Q207" s="355"/>
    </row>
    <row r="208" spans="7:17" s="330" customFormat="1" ht="13.8" x14ac:dyDescent="0.3">
      <c r="G208" s="354"/>
      <c r="H208" s="355"/>
      <c r="I208" s="354"/>
      <c r="J208" s="354"/>
      <c r="K208" s="354"/>
      <c r="L208" s="357"/>
      <c r="M208" s="354"/>
      <c r="N208" s="354"/>
      <c r="O208" s="356"/>
      <c r="P208" s="356"/>
      <c r="Q208" s="355"/>
    </row>
    <row r="209" spans="7:17" s="330" customFormat="1" ht="13.8" x14ac:dyDescent="0.3">
      <c r="G209" s="354"/>
      <c r="H209" s="355"/>
      <c r="I209" s="354"/>
      <c r="J209" s="354"/>
      <c r="K209" s="354"/>
      <c r="L209" s="354"/>
      <c r="M209" s="354"/>
      <c r="N209" s="354"/>
      <c r="O209" s="356"/>
      <c r="P209" s="356"/>
      <c r="Q209" s="355"/>
    </row>
    <row r="210" spans="7:17" s="330" customFormat="1" ht="13.8" x14ac:dyDescent="0.3">
      <c r="G210" s="354"/>
      <c r="H210" s="355"/>
      <c r="I210" s="354"/>
      <c r="J210" s="354"/>
      <c r="K210" s="354"/>
      <c r="L210" s="354"/>
      <c r="M210" s="354"/>
      <c r="N210" s="354"/>
      <c r="O210" s="356"/>
      <c r="P210" s="356"/>
      <c r="Q210" s="356"/>
    </row>
    <row r="211" spans="7:17" s="330" customFormat="1" ht="13.8" x14ac:dyDescent="0.3">
      <c r="G211" s="354"/>
      <c r="H211" s="355"/>
      <c r="I211" s="354"/>
      <c r="J211" s="354"/>
      <c r="K211" s="354"/>
      <c r="L211" s="354"/>
      <c r="M211" s="354"/>
      <c r="N211" s="354"/>
      <c r="O211" s="356"/>
      <c r="P211" s="356"/>
      <c r="Q211" s="356"/>
    </row>
    <row r="212" spans="7:17" s="330" customFormat="1" ht="13.8" x14ac:dyDescent="0.3">
      <c r="G212" s="354"/>
      <c r="H212" s="355"/>
      <c r="I212" s="354"/>
      <c r="J212" s="354"/>
      <c r="K212" s="354"/>
      <c r="L212" s="354"/>
      <c r="M212" s="354"/>
      <c r="N212" s="354"/>
      <c r="O212" s="356"/>
      <c r="P212" s="356"/>
      <c r="Q212" s="355"/>
    </row>
    <row r="213" spans="7:17" s="330" customFormat="1" ht="13.8" x14ac:dyDescent="0.3">
      <c r="G213" s="354"/>
      <c r="H213" s="355"/>
      <c r="I213" s="354"/>
      <c r="J213" s="354"/>
      <c r="K213" s="354"/>
      <c r="L213" s="354"/>
      <c r="M213" s="354"/>
      <c r="N213" s="354"/>
      <c r="O213" s="356"/>
      <c r="P213" s="356"/>
      <c r="Q213" s="355"/>
    </row>
    <row r="214" spans="7:17" s="330" customFormat="1" ht="13.8" x14ac:dyDescent="0.3">
      <c r="G214" s="354"/>
      <c r="H214" s="355"/>
      <c r="I214" s="354"/>
      <c r="J214" s="354"/>
      <c r="K214" s="354"/>
      <c r="L214" s="354"/>
      <c r="M214" s="354"/>
      <c r="N214" s="354"/>
      <c r="O214" s="356"/>
      <c r="P214" s="356"/>
      <c r="Q214" s="355"/>
    </row>
    <row r="215" spans="7:17" s="330" customFormat="1" ht="13.8" x14ac:dyDescent="0.3">
      <c r="G215" s="354"/>
      <c r="H215" s="355"/>
      <c r="I215" s="354"/>
      <c r="J215" s="354"/>
      <c r="K215" s="354"/>
      <c r="L215" s="354"/>
      <c r="M215" s="354"/>
      <c r="N215" s="354"/>
      <c r="O215" s="356"/>
      <c r="P215" s="356"/>
      <c r="Q215" s="355"/>
    </row>
    <row r="216" spans="7:17" s="330" customFormat="1" ht="13.8" x14ac:dyDescent="0.3">
      <c r="G216" s="354"/>
      <c r="H216" s="355"/>
      <c r="I216" s="354"/>
      <c r="J216" s="354"/>
      <c r="K216" s="354"/>
      <c r="L216" s="354"/>
      <c r="M216" s="354"/>
      <c r="N216" s="354"/>
      <c r="O216" s="356"/>
      <c r="P216" s="356"/>
      <c r="Q216" s="355"/>
    </row>
    <row r="217" spans="7:17" s="330" customFormat="1" ht="13.8" x14ac:dyDescent="0.3">
      <c r="G217" s="354"/>
      <c r="H217" s="355"/>
      <c r="I217" s="354"/>
      <c r="J217" s="354"/>
      <c r="K217" s="354"/>
      <c r="L217" s="354"/>
      <c r="M217" s="354"/>
      <c r="N217" s="354"/>
      <c r="O217" s="356"/>
      <c r="P217" s="356"/>
      <c r="Q217" s="355"/>
    </row>
    <row r="218" spans="7:17" s="330" customFormat="1" ht="13.8" x14ac:dyDescent="0.3">
      <c r="G218" s="354"/>
      <c r="H218" s="355"/>
      <c r="I218" s="354"/>
      <c r="J218" s="354"/>
      <c r="K218" s="354"/>
      <c r="L218" s="354"/>
      <c r="M218" s="354"/>
      <c r="N218" s="354"/>
      <c r="O218" s="356"/>
      <c r="P218" s="356"/>
      <c r="Q218" s="355"/>
    </row>
    <row r="219" spans="7:17" s="330" customFormat="1" ht="13.8" x14ac:dyDescent="0.3">
      <c r="G219" s="354"/>
      <c r="H219" s="355"/>
      <c r="I219" s="354"/>
      <c r="J219" s="354"/>
      <c r="K219" s="354"/>
      <c r="L219" s="354"/>
      <c r="M219" s="354"/>
      <c r="N219" s="354"/>
      <c r="O219" s="355"/>
      <c r="P219" s="356"/>
      <c r="Q219" s="355"/>
    </row>
    <row r="220" spans="7:17" s="330" customFormat="1" ht="13.8" x14ac:dyDescent="0.3">
      <c r="G220" s="354"/>
      <c r="H220" s="355"/>
      <c r="I220" s="354"/>
      <c r="J220" s="354"/>
      <c r="K220" s="354"/>
      <c r="L220" s="354"/>
      <c r="M220" s="354"/>
      <c r="N220" s="354"/>
      <c r="O220" s="355"/>
      <c r="P220" s="356"/>
      <c r="Q220" s="355"/>
    </row>
    <row r="221" spans="7:17" s="330" customFormat="1" ht="13.8" x14ac:dyDescent="0.3">
      <c r="G221" s="354"/>
      <c r="H221" s="355"/>
      <c r="I221" s="354"/>
      <c r="J221" s="354"/>
      <c r="K221" s="354"/>
      <c r="L221" s="354"/>
      <c r="M221" s="354"/>
      <c r="N221" s="354"/>
      <c r="O221" s="355"/>
      <c r="P221" s="356"/>
      <c r="Q221" s="355"/>
    </row>
    <row r="222" spans="7:17" s="330" customFormat="1" ht="13.8" x14ac:dyDescent="0.3">
      <c r="G222" s="354"/>
      <c r="H222" s="355"/>
      <c r="I222" s="354"/>
      <c r="J222" s="354"/>
      <c r="K222" s="354"/>
      <c r="L222" s="354"/>
      <c r="M222" s="354"/>
      <c r="N222" s="354"/>
      <c r="O222" s="355"/>
      <c r="P222" s="356"/>
      <c r="Q222" s="355"/>
    </row>
    <row r="223" spans="7:17" s="330" customFormat="1" ht="13.8" x14ac:dyDescent="0.3">
      <c r="G223" s="354"/>
      <c r="H223" s="355"/>
      <c r="I223" s="354"/>
      <c r="J223" s="354"/>
      <c r="K223" s="354"/>
      <c r="L223" s="354"/>
      <c r="M223" s="354"/>
      <c r="N223" s="354"/>
      <c r="O223" s="355"/>
      <c r="P223" s="356"/>
      <c r="Q223" s="355"/>
    </row>
    <row r="224" spans="7:17" s="330" customFormat="1" ht="13.8" x14ac:dyDescent="0.3">
      <c r="G224" s="354"/>
      <c r="H224" s="355"/>
      <c r="I224" s="354"/>
      <c r="J224" s="354"/>
      <c r="K224" s="354"/>
      <c r="L224" s="354"/>
      <c r="M224" s="354"/>
      <c r="N224" s="354"/>
      <c r="O224" s="355"/>
      <c r="P224" s="356"/>
      <c r="Q224" s="355"/>
    </row>
    <row r="225" spans="7:17" s="330" customFormat="1" ht="13.8" x14ac:dyDescent="0.3">
      <c r="G225" s="354"/>
      <c r="H225" s="355"/>
      <c r="I225" s="354"/>
      <c r="J225" s="354"/>
      <c r="K225" s="354"/>
      <c r="L225" s="354"/>
      <c r="M225" s="354"/>
      <c r="N225" s="354"/>
      <c r="O225" s="355"/>
      <c r="P225" s="356"/>
      <c r="Q225" s="355"/>
    </row>
    <row r="226" spans="7:17" s="330" customFormat="1" ht="13.8" x14ac:dyDescent="0.3">
      <c r="G226" s="354"/>
      <c r="H226" s="355"/>
      <c r="I226" s="354"/>
      <c r="J226" s="354"/>
      <c r="K226" s="354"/>
      <c r="L226" s="354"/>
      <c r="M226" s="354"/>
      <c r="N226" s="354"/>
      <c r="O226" s="355"/>
      <c r="P226" s="356"/>
      <c r="Q226" s="355"/>
    </row>
    <row r="227" spans="7:17" s="330" customFormat="1" ht="13.8" x14ac:dyDescent="0.3">
      <c r="G227" s="354"/>
      <c r="H227" s="355"/>
      <c r="I227" s="354"/>
      <c r="J227" s="354"/>
      <c r="K227" s="354"/>
      <c r="L227" s="354"/>
      <c r="M227" s="354"/>
      <c r="N227" s="354"/>
      <c r="O227" s="355"/>
      <c r="P227" s="356"/>
      <c r="Q227" s="355"/>
    </row>
    <row r="228" spans="7:17" s="330" customFormat="1" ht="13.8" x14ac:dyDescent="0.3">
      <c r="G228" s="354"/>
      <c r="H228" s="355"/>
      <c r="I228" s="354"/>
      <c r="J228" s="354"/>
      <c r="K228" s="354"/>
      <c r="L228" s="354"/>
      <c r="M228" s="354"/>
      <c r="N228" s="354"/>
      <c r="O228" s="355"/>
      <c r="P228" s="356"/>
      <c r="Q228" s="355"/>
    </row>
    <row r="229" spans="7:17" s="330" customFormat="1" ht="13.8" x14ac:dyDescent="0.3">
      <c r="G229" s="354"/>
      <c r="H229" s="355"/>
      <c r="I229" s="354"/>
      <c r="J229" s="354"/>
      <c r="K229" s="354"/>
      <c r="L229" s="354"/>
      <c r="M229" s="354"/>
      <c r="N229" s="354"/>
      <c r="O229" s="355"/>
      <c r="P229" s="356"/>
      <c r="Q229" s="355"/>
    </row>
    <row r="230" spans="7:17" s="330" customFormat="1" ht="13.8" x14ac:dyDescent="0.3">
      <c r="G230" s="354"/>
      <c r="H230" s="355"/>
      <c r="I230" s="354"/>
      <c r="J230" s="354"/>
      <c r="K230" s="354"/>
      <c r="L230" s="354"/>
      <c r="M230" s="354"/>
      <c r="N230" s="354"/>
      <c r="O230" s="355"/>
      <c r="P230" s="356"/>
      <c r="Q230" s="355"/>
    </row>
    <row r="231" spans="7:17" s="330" customFormat="1" ht="13.8" x14ac:dyDescent="0.3">
      <c r="G231" s="354"/>
      <c r="H231" s="355"/>
      <c r="I231" s="354"/>
      <c r="J231" s="354"/>
      <c r="K231" s="354"/>
      <c r="L231" s="354"/>
      <c r="M231" s="354"/>
      <c r="N231" s="354"/>
      <c r="O231" s="355"/>
      <c r="P231" s="356"/>
      <c r="Q231" s="355"/>
    </row>
    <row r="232" spans="7:17" s="330" customFormat="1" ht="13.8" x14ac:dyDescent="0.3">
      <c r="G232" s="354"/>
      <c r="H232" s="355"/>
      <c r="I232" s="354"/>
      <c r="J232" s="354"/>
      <c r="K232" s="354"/>
      <c r="L232" s="354"/>
      <c r="M232" s="354"/>
      <c r="N232" s="354"/>
      <c r="O232" s="355"/>
      <c r="P232" s="356"/>
      <c r="Q232" s="355"/>
    </row>
    <row r="233" spans="7:17" s="330" customFormat="1" ht="13.8" x14ac:dyDescent="0.3">
      <c r="G233" s="354"/>
      <c r="H233" s="355"/>
      <c r="I233" s="354"/>
      <c r="J233" s="354"/>
      <c r="K233" s="354"/>
      <c r="L233" s="354"/>
      <c r="M233" s="354"/>
      <c r="N233" s="354"/>
      <c r="O233" s="355"/>
      <c r="P233" s="356"/>
      <c r="Q233" s="355"/>
    </row>
    <row r="234" spans="7:17" s="330" customFormat="1" ht="13.8" x14ac:dyDescent="0.3">
      <c r="G234" s="354"/>
      <c r="H234" s="355"/>
      <c r="I234" s="354"/>
      <c r="J234" s="354"/>
      <c r="K234" s="354"/>
      <c r="L234" s="354"/>
      <c r="M234" s="354"/>
      <c r="N234" s="354"/>
      <c r="O234" s="355"/>
      <c r="P234" s="356"/>
      <c r="Q234" s="355"/>
    </row>
    <row r="235" spans="7:17" s="330" customFormat="1" ht="13.8" x14ac:dyDescent="0.3">
      <c r="G235" s="354"/>
      <c r="H235" s="355"/>
      <c r="I235" s="354"/>
      <c r="J235" s="354"/>
      <c r="K235" s="354"/>
      <c r="L235" s="354"/>
      <c r="M235" s="354"/>
      <c r="N235" s="354"/>
      <c r="O235" s="355"/>
      <c r="P235" s="356"/>
      <c r="Q235" s="355"/>
    </row>
    <row r="236" spans="7:17" s="330" customFormat="1" ht="13.8" x14ac:dyDescent="0.3">
      <c r="G236" s="354"/>
      <c r="H236" s="355"/>
      <c r="I236" s="354"/>
      <c r="J236" s="354"/>
      <c r="K236" s="354"/>
      <c r="L236" s="354"/>
      <c r="M236" s="354"/>
      <c r="N236" s="354"/>
      <c r="O236" s="355"/>
      <c r="P236" s="356"/>
      <c r="Q236" s="355"/>
    </row>
    <row r="237" spans="7:17" s="330" customFormat="1" ht="13.8" x14ac:dyDescent="0.3">
      <c r="G237" s="354"/>
      <c r="H237" s="355"/>
      <c r="I237" s="354"/>
      <c r="J237" s="354"/>
      <c r="K237" s="354"/>
      <c r="L237" s="354"/>
      <c r="M237" s="354"/>
      <c r="N237" s="354"/>
      <c r="O237" s="355"/>
      <c r="P237" s="356"/>
      <c r="Q237" s="355"/>
    </row>
    <row r="238" spans="7:17" s="330" customFormat="1" ht="13.8" x14ac:dyDescent="0.3">
      <c r="G238" s="354"/>
      <c r="H238" s="355"/>
      <c r="I238" s="354"/>
      <c r="J238" s="354"/>
      <c r="K238" s="354"/>
      <c r="L238" s="354"/>
      <c r="M238" s="354"/>
      <c r="N238" s="354"/>
      <c r="O238" s="355"/>
      <c r="P238" s="356"/>
      <c r="Q238" s="355"/>
    </row>
    <row r="239" spans="7:17" s="330" customFormat="1" ht="13.8" x14ac:dyDescent="0.3">
      <c r="G239" s="354"/>
      <c r="H239" s="355"/>
      <c r="I239" s="354"/>
      <c r="J239" s="354"/>
      <c r="K239" s="354"/>
      <c r="L239" s="354"/>
      <c r="M239" s="354"/>
      <c r="N239" s="354"/>
      <c r="O239" s="355"/>
      <c r="P239" s="356"/>
      <c r="Q239" s="355"/>
    </row>
    <row r="240" spans="7:17" s="330" customFormat="1" ht="13.8" x14ac:dyDescent="0.3">
      <c r="G240" s="354"/>
      <c r="H240" s="355"/>
      <c r="I240" s="354"/>
      <c r="J240" s="354"/>
      <c r="K240" s="354"/>
      <c r="L240" s="354"/>
      <c r="M240" s="354"/>
      <c r="N240" s="354"/>
      <c r="O240" s="355"/>
      <c r="P240" s="356"/>
      <c r="Q240" s="355"/>
    </row>
    <row r="241" spans="7:17" s="330" customFormat="1" ht="13.8" x14ac:dyDescent="0.3">
      <c r="G241" s="354"/>
      <c r="H241" s="355"/>
      <c r="I241" s="354"/>
      <c r="J241" s="354"/>
      <c r="K241" s="354"/>
      <c r="L241" s="354"/>
      <c r="M241" s="354"/>
      <c r="N241" s="354"/>
      <c r="O241" s="355"/>
      <c r="P241" s="356"/>
      <c r="Q241" s="355"/>
    </row>
    <row r="242" spans="7:17" s="330" customFormat="1" ht="13.8" x14ac:dyDescent="0.3">
      <c r="G242" s="354"/>
      <c r="H242" s="355"/>
      <c r="I242" s="354"/>
      <c r="J242" s="354"/>
      <c r="K242" s="354"/>
      <c r="L242" s="354"/>
      <c r="M242" s="354"/>
      <c r="N242" s="354"/>
      <c r="O242" s="355"/>
      <c r="P242" s="356"/>
      <c r="Q242" s="355"/>
    </row>
    <row r="243" spans="7:17" s="330" customFormat="1" ht="13.8" x14ac:dyDescent="0.3">
      <c r="G243" s="354"/>
      <c r="H243" s="355"/>
      <c r="I243" s="354"/>
      <c r="J243" s="354"/>
      <c r="K243" s="354"/>
      <c r="L243" s="354"/>
      <c r="M243" s="354"/>
      <c r="N243" s="354"/>
      <c r="O243" s="355"/>
      <c r="P243" s="356"/>
      <c r="Q243" s="355"/>
    </row>
    <row r="244" spans="7:17" s="330" customFormat="1" ht="13.8" x14ac:dyDescent="0.3">
      <c r="G244" s="354"/>
      <c r="H244" s="355"/>
      <c r="I244" s="354"/>
      <c r="J244" s="354"/>
      <c r="K244" s="354"/>
      <c r="L244" s="354"/>
      <c r="M244" s="354"/>
      <c r="N244" s="354"/>
      <c r="O244" s="355"/>
      <c r="P244" s="356"/>
      <c r="Q244" s="355"/>
    </row>
    <row r="245" spans="7:17" s="330" customFormat="1" ht="13.8" x14ac:dyDescent="0.3">
      <c r="G245" s="354"/>
      <c r="H245" s="355"/>
      <c r="I245" s="354"/>
      <c r="J245" s="354"/>
      <c r="K245" s="354"/>
      <c r="L245" s="354"/>
      <c r="M245" s="354"/>
      <c r="N245" s="354"/>
      <c r="O245" s="355"/>
      <c r="P245" s="356"/>
      <c r="Q245" s="355"/>
    </row>
    <row r="246" spans="7:17" s="330" customFormat="1" ht="13.8" x14ac:dyDescent="0.3">
      <c r="G246" s="354"/>
      <c r="H246" s="355"/>
      <c r="I246" s="354"/>
      <c r="J246" s="354"/>
      <c r="K246" s="354"/>
      <c r="L246" s="354"/>
      <c r="M246" s="354"/>
      <c r="N246" s="354"/>
      <c r="O246" s="355"/>
      <c r="P246" s="356"/>
      <c r="Q246" s="355"/>
    </row>
    <row r="247" spans="7:17" s="330" customFormat="1" ht="13.8" x14ac:dyDescent="0.3">
      <c r="G247" s="354"/>
      <c r="H247" s="355"/>
      <c r="I247" s="354"/>
      <c r="J247" s="354"/>
      <c r="K247" s="354"/>
      <c r="L247" s="354"/>
      <c r="M247" s="354"/>
      <c r="N247" s="354"/>
      <c r="O247" s="355"/>
      <c r="P247" s="356"/>
      <c r="Q247" s="355"/>
    </row>
    <row r="248" spans="7:17" s="330" customFormat="1" ht="13.8" x14ac:dyDescent="0.3">
      <c r="G248" s="354"/>
      <c r="H248" s="355"/>
      <c r="I248" s="354"/>
      <c r="J248" s="354"/>
      <c r="K248" s="354"/>
      <c r="L248" s="354"/>
      <c r="M248" s="354"/>
      <c r="N248" s="354"/>
      <c r="O248" s="355"/>
      <c r="P248" s="356"/>
      <c r="Q248" s="355"/>
    </row>
    <row r="249" spans="7:17" s="330" customFormat="1" ht="13.8" x14ac:dyDescent="0.3">
      <c r="G249" s="354"/>
      <c r="H249" s="355"/>
      <c r="I249" s="354"/>
      <c r="J249" s="354"/>
      <c r="K249" s="354"/>
      <c r="L249" s="354"/>
      <c r="M249" s="354"/>
      <c r="N249" s="354"/>
      <c r="O249" s="355"/>
      <c r="P249" s="356"/>
      <c r="Q249" s="355"/>
    </row>
    <row r="250" spans="7:17" s="330" customFormat="1" ht="13.8" x14ac:dyDescent="0.3">
      <c r="G250" s="354"/>
      <c r="H250" s="355"/>
      <c r="I250" s="354"/>
      <c r="J250" s="354"/>
      <c r="K250" s="354"/>
      <c r="L250" s="354"/>
      <c r="M250" s="354"/>
      <c r="N250" s="354"/>
      <c r="O250" s="355"/>
      <c r="P250" s="356"/>
      <c r="Q250" s="355"/>
    </row>
    <row r="251" spans="7:17" s="330" customFormat="1" ht="13.8" x14ac:dyDescent="0.3">
      <c r="G251" s="354"/>
      <c r="H251" s="355"/>
      <c r="I251" s="354"/>
      <c r="J251" s="354"/>
      <c r="K251" s="354"/>
      <c r="L251" s="354"/>
      <c r="M251" s="354"/>
      <c r="N251" s="354"/>
      <c r="O251" s="355"/>
      <c r="P251" s="356"/>
      <c r="Q251" s="355"/>
    </row>
    <row r="252" spans="7:17" s="330" customFormat="1" ht="13.8" x14ac:dyDescent="0.3">
      <c r="G252" s="354"/>
      <c r="H252" s="355"/>
      <c r="I252" s="354"/>
      <c r="J252" s="354"/>
      <c r="K252" s="354"/>
      <c r="L252" s="354"/>
      <c r="M252" s="354"/>
      <c r="N252" s="354"/>
      <c r="O252" s="355"/>
      <c r="P252" s="356"/>
      <c r="Q252" s="355"/>
    </row>
    <row r="253" spans="7:17" s="330" customFormat="1" ht="13.8" x14ac:dyDescent="0.3">
      <c r="G253" s="354"/>
      <c r="H253" s="355"/>
      <c r="I253" s="354"/>
      <c r="J253" s="354"/>
      <c r="K253" s="354"/>
      <c r="L253" s="354"/>
      <c r="M253" s="354"/>
      <c r="N253" s="354"/>
      <c r="O253" s="355"/>
      <c r="P253" s="356"/>
      <c r="Q253" s="355"/>
    </row>
    <row r="254" spans="7:17" s="330" customFormat="1" ht="13.8" x14ac:dyDescent="0.3">
      <c r="G254" s="354"/>
      <c r="H254" s="355"/>
      <c r="I254" s="354"/>
      <c r="J254" s="354"/>
      <c r="K254" s="354"/>
      <c r="L254" s="354"/>
      <c r="M254" s="354"/>
      <c r="N254" s="354"/>
      <c r="O254" s="355"/>
      <c r="P254" s="356"/>
      <c r="Q254" s="355"/>
    </row>
    <row r="255" spans="7:17" s="330" customFormat="1" ht="13.8" x14ac:dyDescent="0.3">
      <c r="G255" s="354"/>
      <c r="H255" s="355"/>
      <c r="I255" s="354"/>
      <c r="J255" s="354"/>
      <c r="K255" s="354"/>
      <c r="L255" s="354"/>
      <c r="M255" s="354"/>
      <c r="N255" s="354"/>
      <c r="O255" s="355"/>
      <c r="P255" s="356"/>
      <c r="Q255" s="355"/>
    </row>
    <row r="256" spans="7:17" s="330" customFormat="1" ht="13.8" x14ac:dyDescent="0.3">
      <c r="G256" s="354"/>
      <c r="H256" s="355"/>
      <c r="I256" s="354"/>
      <c r="J256" s="354"/>
      <c r="K256" s="354"/>
      <c r="L256" s="354"/>
      <c r="M256" s="354"/>
      <c r="N256" s="354"/>
      <c r="O256" s="355"/>
      <c r="P256" s="356"/>
      <c r="Q256" s="355"/>
    </row>
    <row r="257" spans="7:17" s="330" customFormat="1" ht="13.8" x14ac:dyDescent="0.3">
      <c r="G257" s="354"/>
      <c r="H257" s="355"/>
      <c r="I257" s="354"/>
      <c r="J257" s="354"/>
      <c r="K257" s="354"/>
      <c r="L257" s="354"/>
      <c r="M257" s="354"/>
      <c r="N257" s="354"/>
      <c r="O257" s="355"/>
      <c r="P257" s="356"/>
      <c r="Q257" s="355"/>
    </row>
    <row r="258" spans="7:17" s="330" customFormat="1" ht="13.8" x14ac:dyDescent="0.3">
      <c r="G258" s="354"/>
      <c r="H258" s="355"/>
      <c r="I258" s="354"/>
      <c r="J258" s="354"/>
      <c r="K258" s="354"/>
      <c r="L258" s="354"/>
      <c r="M258" s="354"/>
      <c r="N258" s="354"/>
      <c r="O258" s="355"/>
      <c r="P258" s="356"/>
      <c r="Q258" s="355"/>
    </row>
    <row r="259" spans="7:17" s="330" customFormat="1" ht="13.8" x14ac:dyDescent="0.3">
      <c r="G259" s="354"/>
      <c r="H259" s="355"/>
      <c r="I259" s="354"/>
      <c r="J259" s="354"/>
      <c r="K259" s="354"/>
      <c r="L259" s="354"/>
      <c r="M259" s="354"/>
      <c r="N259" s="354"/>
      <c r="O259" s="355"/>
      <c r="P259" s="356"/>
      <c r="Q259" s="355"/>
    </row>
    <row r="260" spans="7:17" s="330" customFormat="1" ht="13.8" x14ac:dyDescent="0.3">
      <c r="G260" s="354"/>
      <c r="H260" s="355"/>
      <c r="I260" s="354"/>
      <c r="J260" s="354"/>
      <c r="K260" s="354"/>
      <c r="L260" s="354"/>
      <c r="M260" s="354"/>
      <c r="N260" s="354"/>
      <c r="O260" s="355"/>
      <c r="P260" s="356"/>
      <c r="Q260" s="355"/>
    </row>
    <row r="261" spans="7:17" s="330" customFormat="1" ht="13.8" x14ac:dyDescent="0.3">
      <c r="G261" s="354"/>
      <c r="H261" s="355"/>
      <c r="I261" s="354"/>
      <c r="J261" s="354"/>
      <c r="K261" s="354"/>
      <c r="L261" s="354"/>
      <c r="M261" s="354"/>
      <c r="N261" s="354"/>
      <c r="O261" s="355"/>
      <c r="P261" s="356"/>
      <c r="Q261" s="355"/>
    </row>
    <row r="262" spans="7:17" s="330" customFormat="1" ht="13.8" x14ac:dyDescent="0.3">
      <c r="G262" s="354"/>
      <c r="H262" s="355"/>
      <c r="I262" s="354"/>
      <c r="J262" s="354"/>
      <c r="K262" s="354"/>
      <c r="L262" s="354"/>
      <c r="M262" s="354"/>
      <c r="N262" s="354"/>
      <c r="O262" s="355"/>
      <c r="P262" s="356"/>
      <c r="Q262" s="355"/>
    </row>
    <row r="263" spans="7:17" s="330" customFormat="1" ht="13.8" x14ac:dyDescent="0.3">
      <c r="G263" s="354"/>
      <c r="H263" s="355"/>
      <c r="I263" s="354"/>
      <c r="J263" s="354"/>
      <c r="K263" s="354"/>
      <c r="L263" s="354"/>
      <c r="M263" s="354"/>
      <c r="N263" s="354"/>
      <c r="O263" s="355"/>
      <c r="P263" s="356"/>
      <c r="Q263" s="355"/>
    </row>
    <row r="264" spans="7:17" s="330" customFormat="1" ht="13.8" x14ac:dyDescent="0.3">
      <c r="G264" s="354"/>
      <c r="H264" s="355"/>
      <c r="I264" s="354"/>
      <c r="J264" s="354"/>
      <c r="K264" s="354"/>
      <c r="L264" s="354"/>
      <c r="M264" s="354"/>
      <c r="N264" s="354"/>
      <c r="O264" s="355"/>
      <c r="P264" s="356"/>
      <c r="Q264" s="355"/>
    </row>
    <row r="265" spans="7:17" s="330" customFormat="1" ht="13.8" x14ac:dyDescent="0.3">
      <c r="G265" s="354"/>
      <c r="H265" s="355"/>
      <c r="I265" s="354"/>
      <c r="J265" s="354"/>
      <c r="K265" s="354"/>
      <c r="L265" s="354"/>
      <c r="M265" s="354"/>
      <c r="N265" s="354"/>
      <c r="O265" s="355"/>
      <c r="P265" s="356"/>
      <c r="Q265" s="355"/>
    </row>
    <row r="266" spans="7:17" s="330" customFormat="1" ht="13.8" x14ac:dyDescent="0.3">
      <c r="G266" s="354"/>
      <c r="H266" s="355"/>
      <c r="I266" s="354"/>
      <c r="J266" s="354"/>
      <c r="K266" s="354"/>
      <c r="L266" s="354"/>
      <c r="M266" s="354"/>
      <c r="N266" s="354"/>
      <c r="O266" s="355"/>
      <c r="P266" s="356"/>
      <c r="Q266" s="355"/>
    </row>
    <row r="267" spans="7:17" s="330" customFormat="1" ht="13.8" x14ac:dyDescent="0.3">
      <c r="G267" s="354"/>
      <c r="H267" s="355"/>
      <c r="I267" s="354"/>
      <c r="J267" s="354"/>
      <c r="K267" s="354"/>
      <c r="L267" s="354"/>
      <c r="M267" s="354"/>
      <c r="N267" s="354"/>
      <c r="O267" s="355"/>
      <c r="P267" s="356"/>
      <c r="Q267" s="355"/>
    </row>
    <row r="268" spans="7:17" s="330" customFormat="1" ht="13.8" x14ac:dyDescent="0.3">
      <c r="G268" s="354"/>
      <c r="H268" s="355"/>
      <c r="I268" s="354"/>
      <c r="J268" s="354"/>
      <c r="K268" s="354"/>
      <c r="L268" s="354"/>
      <c r="M268" s="354"/>
      <c r="N268" s="354"/>
      <c r="O268" s="355"/>
      <c r="P268" s="356"/>
      <c r="Q268" s="355"/>
    </row>
    <row r="269" spans="7:17" s="330" customFormat="1" ht="13.8" x14ac:dyDescent="0.3">
      <c r="G269" s="354"/>
      <c r="H269" s="355"/>
      <c r="I269" s="354"/>
      <c r="J269" s="354"/>
      <c r="K269" s="354"/>
      <c r="L269" s="354"/>
      <c r="M269" s="354"/>
      <c r="N269" s="354"/>
      <c r="O269" s="355"/>
      <c r="P269" s="356"/>
      <c r="Q269" s="355"/>
    </row>
    <row r="270" spans="7:17" s="330" customFormat="1" ht="13.8" x14ac:dyDescent="0.3">
      <c r="G270" s="354"/>
      <c r="H270" s="355"/>
      <c r="I270" s="354"/>
      <c r="J270" s="354"/>
      <c r="K270" s="354"/>
      <c r="L270" s="354"/>
      <c r="M270" s="354"/>
      <c r="N270" s="354"/>
      <c r="O270" s="355"/>
      <c r="P270" s="356"/>
      <c r="Q270" s="355"/>
    </row>
    <row r="271" spans="7:17" s="330" customFormat="1" ht="13.8" x14ac:dyDescent="0.3">
      <c r="G271" s="354"/>
      <c r="H271" s="355"/>
      <c r="I271" s="354"/>
      <c r="J271" s="354"/>
      <c r="K271" s="354"/>
      <c r="L271" s="354"/>
      <c r="M271" s="354"/>
      <c r="N271" s="354"/>
      <c r="O271" s="355"/>
      <c r="P271" s="356"/>
      <c r="Q271" s="355"/>
    </row>
    <row r="272" spans="7:17" s="330" customFormat="1" ht="13.8" x14ac:dyDescent="0.3">
      <c r="G272" s="354"/>
      <c r="H272" s="355"/>
      <c r="I272" s="354"/>
      <c r="J272" s="354"/>
      <c r="K272" s="354"/>
      <c r="L272" s="354"/>
      <c r="M272" s="354"/>
      <c r="N272" s="354"/>
      <c r="O272" s="355"/>
      <c r="P272" s="356"/>
      <c r="Q272" s="355"/>
    </row>
    <row r="273" spans="7:17" s="330" customFormat="1" ht="13.8" x14ac:dyDescent="0.3">
      <c r="G273" s="354"/>
      <c r="H273" s="355"/>
      <c r="I273" s="354"/>
      <c r="J273" s="354"/>
      <c r="K273" s="354"/>
      <c r="L273" s="354"/>
      <c r="M273" s="354"/>
      <c r="N273" s="354"/>
      <c r="O273" s="355"/>
      <c r="P273" s="356"/>
      <c r="Q273" s="355"/>
    </row>
    <row r="274" spans="7:17" s="330" customFormat="1" ht="13.8" x14ac:dyDescent="0.3">
      <c r="G274" s="354"/>
      <c r="H274" s="355"/>
      <c r="I274" s="354"/>
      <c r="J274" s="354"/>
      <c r="K274" s="354"/>
      <c r="L274" s="354"/>
      <c r="M274" s="354"/>
      <c r="N274" s="354"/>
      <c r="O274" s="355"/>
      <c r="P274" s="356"/>
      <c r="Q274" s="355"/>
    </row>
    <row r="275" spans="7:17" s="330" customFormat="1" ht="13.8" x14ac:dyDescent="0.3">
      <c r="G275" s="354"/>
      <c r="H275" s="355"/>
      <c r="I275" s="354"/>
      <c r="J275" s="354"/>
      <c r="K275" s="354"/>
      <c r="L275" s="354"/>
      <c r="M275" s="354"/>
      <c r="N275" s="354"/>
      <c r="O275" s="355"/>
      <c r="P275" s="356"/>
      <c r="Q275" s="355"/>
    </row>
    <row r="276" spans="7:17" s="330" customFormat="1" ht="13.8" x14ac:dyDescent="0.3">
      <c r="G276" s="354"/>
      <c r="H276" s="355"/>
      <c r="I276" s="354"/>
      <c r="J276" s="354"/>
      <c r="K276" s="354"/>
      <c r="L276" s="354"/>
      <c r="M276" s="354"/>
      <c r="N276" s="354"/>
      <c r="O276" s="355"/>
      <c r="P276" s="356"/>
      <c r="Q276" s="355"/>
    </row>
    <row r="277" spans="7:17" s="330" customFormat="1" ht="13.8" x14ac:dyDescent="0.3">
      <c r="G277" s="354"/>
      <c r="H277" s="355"/>
      <c r="I277" s="354"/>
      <c r="J277" s="354"/>
      <c r="K277" s="354"/>
      <c r="L277" s="354"/>
      <c r="M277" s="354"/>
      <c r="N277" s="354"/>
      <c r="O277" s="355"/>
      <c r="P277" s="356"/>
      <c r="Q277" s="355"/>
    </row>
    <row r="278" spans="7:17" s="330" customFormat="1" ht="13.8" x14ac:dyDescent="0.3">
      <c r="G278" s="354"/>
      <c r="H278" s="355"/>
      <c r="I278" s="354"/>
      <c r="J278" s="354"/>
      <c r="K278" s="354"/>
      <c r="L278" s="354"/>
      <c r="M278" s="354"/>
      <c r="N278" s="354"/>
      <c r="O278" s="355"/>
      <c r="P278" s="356"/>
      <c r="Q278" s="355"/>
    </row>
    <row r="279" spans="7:17" s="330" customFormat="1" ht="13.8" x14ac:dyDescent="0.3">
      <c r="G279" s="354"/>
      <c r="H279" s="355"/>
      <c r="I279" s="354"/>
      <c r="J279" s="354"/>
      <c r="K279" s="354"/>
      <c r="L279" s="354"/>
      <c r="M279" s="354"/>
      <c r="N279" s="354"/>
      <c r="O279" s="355"/>
      <c r="P279" s="356"/>
      <c r="Q279" s="355"/>
    </row>
    <row r="280" spans="7:17" s="330" customFormat="1" ht="13.8" x14ac:dyDescent="0.3">
      <c r="G280" s="354"/>
      <c r="H280" s="355"/>
      <c r="I280" s="354"/>
      <c r="J280" s="354"/>
      <c r="K280" s="354"/>
      <c r="L280" s="354"/>
      <c r="M280" s="354"/>
      <c r="N280" s="354"/>
      <c r="O280" s="355"/>
      <c r="P280" s="356"/>
      <c r="Q280" s="355"/>
    </row>
    <row r="281" spans="7:17" s="330" customFormat="1" ht="13.8" x14ac:dyDescent="0.3">
      <c r="G281" s="354"/>
      <c r="H281" s="355"/>
      <c r="I281" s="354"/>
      <c r="J281" s="354"/>
      <c r="K281" s="354"/>
      <c r="L281" s="354"/>
      <c r="M281" s="354"/>
      <c r="N281" s="354"/>
      <c r="O281" s="355"/>
      <c r="P281" s="356"/>
      <c r="Q281" s="355"/>
    </row>
    <row r="282" spans="7:17" s="330" customFormat="1" ht="13.8" x14ac:dyDescent="0.3">
      <c r="G282" s="354"/>
      <c r="H282" s="355"/>
      <c r="I282" s="354"/>
      <c r="J282" s="354"/>
      <c r="K282" s="354"/>
      <c r="L282" s="354"/>
      <c r="M282" s="354"/>
      <c r="N282" s="354"/>
      <c r="O282" s="355"/>
      <c r="P282" s="356"/>
      <c r="Q282" s="355"/>
    </row>
    <row r="283" spans="7:17" s="330" customFormat="1" ht="13.8" x14ac:dyDescent="0.3">
      <c r="G283" s="354"/>
      <c r="H283" s="355"/>
      <c r="I283" s="354"/>
      <c r="J283" s="354"/>
      <c r="K283" s="354"/>
      <c r="L283" s="354"/>
      <c r="M283" s="354"/>
      <c r="N283" s="354"/>
      <c r="O283" s="355"/>
      <c r="P283" s="356"/>
      <c r="Q283" s="355"/>
    </row>
    <row r="284" spans="7:17" s="330" customFormat="1" ht="13.8" x14ac:dyDescent="0.3">
      <c r="G284" s="354"/>
      <c r="H284" s="355"/>
      <c r="I284" s="354"/>
      <c r="J284" s="354"/>
      <c r="K284" s="354"/>
      <c r="L284" s="354"/>
      <c r="M284" s="354"/>
      <c r="N284" s="354"/>
      <c r="O284" s="355"/>
      <c r="P284" s="356"/>
      <c r="Q284" s="355"/>
    </row>
    <row r="285" spans="7:17" s="330" customFormat="1" ht="13.8" x14ac:dyDescent="0.3">
      <c r="G285" s="354"/>
      <c r="H285" s="355"/>
      <c r="I285" s="354"/>
      <c r="J285" s="354"/>
      <c r="K285" s="354"/>
      <c r="L285" s="354"/>
      <c r="M285" s="354"/>
      <c r="N285" s="354"/>
      <c r="O285" s="355"/>
      <c r="P285" s="356"/>
      <c r="Q285" s="355"/>
    </row>
    <row r="286" spans="7:17" s="330" customFormat="1" ht="13.8" x14ac:dyDescent="0.3">
      <c r="G286" s="354"/>
      <c r="H286" s="355"/>
      <c r="I286" s="354"/>
      <c r="J286" s="354"/>
      <c r="K286" s="354"/>
      <c r="L286" s="354"/>
      <c r="M286" s="354"/>
      <c r="N286" s="354"/>
      <c r="O286" s="355"/>
      <c r="P286" s="356"/>
      <c r="Q286" s="355"/>
    </row>
    <row r="287" spans="7:17" s="330" customFormat="1" ht="13.8" x14ac:dyDescent="0.3">
      <c r="G287" s="354"/>
      <c r="H287" s="355"/>
      <c r="I287" s="354"/>
      <c r="J287" s="354"/>
      <c r="K287" s="354"/>
      <c r="L287" s="354"/>
      <c r="M287" s="354"/>
      <c r="N287" s="354"/>
      <c r="O287" s="355"/>
      <c r="P287" s="356"/>
      <c r="Q287" s="355"/>
    </row>
    <row r="288" spans="7:17" s="330" customFormat="1" ht="13.8" x14ac:dyDescent="0.3">
      <c r="G288" s="354"/>
      <c r="H288" s="355"/>
      <c r="I288" s="354"/>
      <c r="J288" s="354"/>
      <c r="K288" s="354"/>
      <c r="L288" s="354"/>
      <c r="M288" s="354"/>
      <c r="N288" s="354"/>
      <c r="O288" s="355"/>
      <c r="P288" s="356"/>
      <c r="Q288" s="355"/>
    </row>
    <row r="289" spans="7:17" s="330" customFormat="1" ht="13.8" x14ac:dyDescent="0.3">
      <c r="G289" s="354"/>
      <c r="H289" s="355"/>
      <c r="I289" s="354"/>
      <c r="J289" s="354"/>
      <c r="K289" s="354"/>
      <c r="L289" s="354"/>
      <c r="M289" s="354"/>
      <c r="N289" s="354"/>
      <c r="O289" s="355"/>
      <c r="P289" s="356"/>
      <c r="Q289" s="355"/>
    </row>
    <row r="290" spans="7:17" s="330" customFormat="1" ht="13.8" x14ac:dyDescent="0.3">
      <c r="G290" s="354"/>
      <c r="H290" s="355"/>
      <c r="I290" s="354"/>
      <c r="J290" s="354"/>
      <c r="K290" s="354"/>
      <c r="L290" s="354"/>
      <c r="M290" s="354"/>
      <c r="N290" s="354"/>
      <c r="O290" s="355"/>
      <c r="P290" s="356"/>
      <c r="Q290" s="355"/>
    </row>
    <row r="291" spans="7:17" s="330" customFormat="1" ht="13.8" x14ac:dyDescent="0.3">
      <c r="G291" s="354"/>
      <c r="H291" s="355"/>
      <c r="I291" s="354"/>
      <c r="J291" s="354"/>
      <c r="K291" s="354"/>
      <c r="L291" s="354"/>
      <c r="M291" s="354"/>
      <c r="N291" s="354"/>
      <c r="O291" s="355"/>
      <c r="P291" s="356"/>
      <c r="Q291" s="355"/>
    </row>
    <row r="292" spans="7:17" s="330" customFormat="1" ht="13.8" x14ac:dyDescent="0.3">
      <c r="G292" s="354"/>
      <c r="H292" s="355"/>
      <c r="I292" s="354"/>
      <c r="J292" s="354"/>
      <c r="K292" s="354"/>
      <c r="L292" s="354"/>
      <c r="M292" s="354"/>
      <c r="N292" s="354"/>
      <c r="O292" s="355"/>
      <c r="P292" s="356"/>
      <c r="Q292" s="355"/>
    </row>
    <row r="293" spans="7:17" s="330" customFormat="1" ht="13.8" x14ac:dyDescent="0.3">
      <c r="G293" s="354"/>
      <c r="H293" s="355"/>
      <c r="I293" s="354"/>
      <c r="J293" s="354"/>
      <c r="K293" s="354"/>
      <c r="L293" s="354"/>
      <c r="M293" s="354"/>
      <c r="N293" s="354"/>
      <c r="O293" s="355"/>
      <c r="P293" s="356"/>
      <c r="Q293" s="355"/>
    </row>
    <row r="294" spans="7:17" s="330" customFormat="1" ht="13.8" x14ac:dyDescent="0.3">
      <c r="G294" s="354"/>
      <c r="H294" s="355"/>
      <c r="I294" s="354"/>
      <c r="J294" s="354"/>
      <c r="K294" s="354"/>
      <c r="L294" s="354"/>
      <c r="M294" s="354"/>
      <c r="N294" s="354"/>
      <c r="O294" s="355"/>
      <c r="P294" s="356"/>
      <c r="Q294" s="355"/>
    </row>
    <row r="295" spans="7:17" s="330" customFormat="1" ht="13.8" x14ac:dyDescent="0.3">
      <c r="G295" s="354"/>
      <c r="H295" s="355"/>
      <c r="I295" s="354"/>
      <c r="J295" s="354"/>
      <c r="K295" s="354"/>
      <c r="L295" s="354"/>
      <c r="M295" s="354"/>
      <c r="N295" s="354"/>
      <c r="O295" s="355"/>
      <c r="P295" s="356"/>
      <c r="Q295" s="355"/>
    </row>
    <row r="296" spans="7:17" s="330" customFormat="1" ht="13.8" x14ac:dyDescent="0.3">
      <c r="G296" s="354"/>
      <c r="H296" s="355"/>
      <c r="I296" s="354"/>
      <c r="J296" s="354"/>
      <c r="K296" s="354"/>
      <c r="L296" s="354"/>
      <c r="M296" s="354"/>
      <c r="N296" s="354"/>
      <c r="O296" s="355"/>
      <c r="P296" s="356"/>
      <c r="Q296" s="355"/>
    </row>
    <row r="297" spans="7:17" s="330" customFormat="1" ht="13.8" x14ac:dyDescent="0.3">
      <c r="G297" s="354"/>
      <c r="H297" s="355"/>
      <c r="I297" s="354"/>
      <c r="J297" s="354"/>
      <c r="K297" s="354"/>
      <c r="L297" s="354"/>
      <c r="M297" s="354"/>
      <c r="N297" s="354"/>
      <c r="O297" s="355"/>
      <c r="P297" s="356"/>
      <c r="Q297" s="355"/>
    </row>
    <row r="298" spans="7:17" s="330" customFormat="1" ht="13.8" x14ac:dyDescent="0.3">
      <c r="G298" s="354"/>
      <c r="H298" s="355"/>
      <c r="I298" s="354"/>
      <c r="J298" s="354"/>
      <c r="K298" s="354"/>
      <c r="L298" s="354"/>
      <c r="M298" s="354"/>
      <c r="N298" s="354"/>
      <c r="O298" s="355"/>
      <c r="P298" s="356"/>
      <c r="Q298" s="355"/>
    </row>
    <row r="299" spans="7:17" s="330" customFormat="1" ht="13.8" x14ac:dyDescent="0.3">
      <c r="G299" s="354"/>
      <c r="H299" s="355"/>
      <c r="I299" s="354"/>
      <c r="J299" s="354"/>
      <c r="K299" s="354"/>
      <c r="L299" s="354"/>
      <c r="M299" s="354"/>
      <c r="N299" s="354"/>
      <c r="O299" s="355"/>
      <c r="P299" s="356"/>
      <c r="Q299" s="355"/>
    </row>
    <row r="300" spans="7:17" s="330" customFormat="1" ht="13.8" x14ac:dyDescent="0.3">
      <c r="G300" s="354"/>
      <c r="H300" s="355"/>
      <c r="I300" s="354"/>
      <c r="J300" s="354"/>
      <c r="K300" s="354"/>
      <c r="L300" s="354"/>
      <c r="M300" s="354"/>
      <c r="N300" s="354"/>
      <c r="O300" s="355"/>
      <c r="P300" s="356"/>
      <c r="Q300" s="355"/>
    </row>
    <row r="301" spans="7:17" s="330" customFormat="1" ht="13.8" x14ac:dyDescent="0.3">
      <c r="G301" s="354"/>
      <c r="H301" s="355"/>
      <c r="I301" s="354"/>
      <c r="J301" s="354"/>
      <c r="K301" s="354"/>
      <c r="L301" s="354"/>
      <c r="M301" s="354"/>
      <c r="N301" s="354"/>
      <c r="O301" s="355"/>
      <c r="P301" s="356"/>
      <c r="Q301" s="355"/>
    </row>
    <row r="302" spans="7:17" s="330" customFormat="1" ht="13.8" x14ac:dyDescent="0.3">
      <c r="G302" s="354"/>
      <c r="H302" s="355"/>
      <c r="I302" s="354"/>
      <c r="J302" s="354"/>
      <c r="K302" s="354"/>
      <c r="L302" s="354"/>
      <c r="M302" s="354"/>
      <c r="N302" s="354"/>
      <c r="O302" s="355"/>
      <c r="P302" s="356"/>
      <c r="Q302" s="355"/>
    </row>
    <row r="303" spans="7:17" s="330" customFormat="1" ht="13.8" x14ac:dyDescent="0.3">
      <c r="G303" s="354"/>
      <c r="H303" s="355"/>
      <c r="I303" s="354"/>
      <c r="J303" s="354"/>
      <c r="K303" s="354"/>
      <c r="L303" s="354"/>
      <c r="M303" s="354"/>
      <c r="N303" s="354"/>
      <c r="O303" s="355"/>
      <c r="P303" s="356"/>
      <c r="Q303" s="355"/>
    </row>
    <row r="304" spans="7:17" s="330" customFormat="1" ht="13.8" x14ac:dyDescent="0.3">
      <c r="G304" s="354"/>
      <c r="H304" s="355"/>
      <c r="I304" s="354"/>
      <c r="J304" s="354"/>
      <c r="K304" s="354"/>
      <c r="L304" s="354"/>
      <c r="M304" s="354"/>
      <c r="N304" s="354"/>
      <c r="O304" s="355"/>
      <c r="P304" s="356"/>
      <c r="Q304" s="355"/>
    </row>
    <row r="305" spans="7:17" s="330" customFormat="1" ht="13.8" x14ac:dyDescent="0.3">
      <c r="G305" s="354"/>
      <c r="H305" s="355"/>
      <c r="I305" s="354"/>
      <c r="J305" s="354"/>
      <c r="K305" s="354"/>
      <c r="L305" s="354"/>
      <c r="M305" s="354"/>
      <c r="N305" s="354"/>
      <c r="O305" s="355"/>
      <c r="P305" s="356"/>
      <c r="Q305" s="355"/>
    </row>
    <row r="306" spans="7:17" s="330" customFormat="1" ht="13.8" x14ac:dyDescent="0.3">
      <c r="G306" s="354"/>
      <c r="H306" s="355"/>
      <c r="I306" s="354"/>
      <c r="J306" s="354"/>
      <c r="K306" s="354"/>
      <c r="L306" s="354"/>
      <c r="M306" s="354"/>
      <c r="N306" s="354"/>
      <c r="O306" s="355"/>
      <c r="P306" s="356"/>
      <c r="Q306" s="355"/>
    </row>
    <row r="307" spans="7:17" s="330" customFormat="1" ht="13.8" x14ac:dyDescent="0.3">
      <c r="G307" s="354"/>
      <c r="H307" s="355"/>
      <c r="I307" s="354"/>
      <c r="J307" s="354"/>
      <c r="K307" s="354"/>
      <c r="L307" s="354"/>
      <c r="M307" s="354"/>
      <c r="N307" s="354"/>
      <c r="O307" s="355"/>
      <c r="P307" s="356"/>
      <c r="Q307" s="355"/>
    </row>
    <row r="308" spans="7:17" s="330" customFormat="1" ht="13.8" x14ac:dyDescent="0.3">
      <c r="G308" s="354"/>
      <c r="H308" s="355"/>
      <c r="I308" s="354"/>
      <c r="J308" s="354"/>
      <c r="K308" s="354"/>
      <c r="L308" s="354"/>
      <c r="M308" s="354"/>
      <c r="N308" s="354"/>
      <c r="O308" s="355"/>
      <c r="P308" s="356"/>
      <c r="Q308" s="355"/>
    </row>
    <row r="309" spans="7:17" s="330" customFormat="1" ht="13.8" x14ac:dyDescent="0.3">
      <c r="G309" s="354"/>
      <c r="H309" s="355"/>
      <c r="I309" s="354"/>
      <c r="J309" s="354"/>
      <c r="K309" s="354"/>
      <c r="L309" s="354"/>
      <c r="M309" s="354"/>
      <c r="N309" s="354"/>
      <c r="O309" s="355"/>
      <c r="P309" s="356"/>
      <c r="Q309" s="355"/>
    </row>
    <row r="310" spans="7:17" s="330" customFormat="1" ht="13.8" x14ac:dyDescent="0.3">
      <c r="G310" s="354"/>
      <c r="H310" s="355"/>
      <c r="I310" s="354"/>
      <c r="J310" s="354"/>
      <c r="K310" s="354"/>
      <c r="L310" s="354"/>
      <c r="M310" s="354"/>
      <c r="N310" s="354"/>
      <c r="O310" s="355"/>
      <c r="P310" s="356"/>
      <c r="Q310" s="355"/>
    </row>
    <row r="311" spans="7:17" s="330" customFormat="1" ht="13.8" x14ac:dyDescent="0.3">
      <c r="G311" s="354"/>
      <c r="H311" s="355"/>
      <c r="I311" s="354"/>
      <c r="J311" s="354"/>
      <c r="K311" s="354"/>
      <c r="L311" s="354"/>
      <c r="M311" s="354"/>
      <c r="N311" s="354"/>
      <c r="O311" s="355"/>
      <c r="P311" s="356"/>
      <c r="Q311" s="355"/>
    </row>
    <row r="312" spans="7:17" s="330" customFormat="1" ht="13.8" x14ac:dyDescent="0.3">
      <c r="G312" s="354"/>
      <c r="H312" s="355"/>
      <c r="I312" s="354"/>
      <c r="J312" s="354"/>
      <c r="K312" s="354"/>
      <c r="L312" s="354"/>
      <c r="M312" s="354"/>
      <c r="N312" s="354"/>
      <c r="O312" s="355"/>
      <c r="P312" s="356"/>
      <c r="Q312" s="355"/>
    </row>
    <row r="313" spans="7:17" s="330" customFormat="1" ht="13.8" x14ac:dyDescent="0.3">
      <c r="G313" s="354"/>
      <c r="H313" s="355"/>
      <c r="I313" s="354"/>
      <c r="J313" s="354"/>
      <c r="K313" s="354"/>
      <c r="L313" s="354"/>
      <c r="M313" s="354"/>
      <c r="N313" s="354"/>
      <c r="O313" s="355"/>
      <c r="P313" s="356"/>
      <c r="Q313" s="355"/>
    </row>
    <row r="314" spans="7:17" s="330" customFormat="1" ht="13.8" x14ac:dyDescent="0.3">
      <c r="G314" s="354"/>
      <c r="H314" s="355"/>
      <c r="I314" s="354"/>
      <c r="J314" s="354"/>
      <c r="K314" s="354"/>
      <c r="L314" s="354"/>
      <c r="M314" s="354"/>
      <c r="N314" s="354"/>
      <c r="O314" s="355"/>
      <c r="P314" s="356"/>
      <c r="Q314" s="355"/>
    </row>
    <row r="315" spans="7:17" s="330" customFormat="1" ht="13.8" x14ac:dyDescent="0.3">
      <c r="G315" s="354"/>
      <c r="H315" s="355"/>
      <c r="I315" s="354"/>
      <c r="J315" s="354"/>
      <c r="K315" s="354"/>
      <c r="L315" s="354"/>
      <c r="M315" s="354"/>
      <c r="N315" s="354"/>
      <c r="O315" s="355"/>
      <c r="P315" s="356"/>
      <c r="Q315" s="355"/>
    </row>
    <row r="316" spans="7:17" s="330" customFormat="1" ht="13.8" x14ac:dyDescent="0.3">
      <c r="G316" s="354"/>
      <c r="H316" s="355"/>
      <c r="I316" s="354"/>
      <c r="J316" s="354"/>
      <c r="K316" s="354"/>
      <c r="L316" s="354"/>
      <c r="M316" s="354"/>
      <c r="N316" s="354"/>
      <c r="O316" s="355"/>
      <c r="P316" s="356"/>
      <c r="Q316" s="355"/>
    </row>
    <row r="317" spans="7:17" s="330" customFormat="1" ht="13.8" x14ac:dyDescent="0.3">
      <c r="G317" s="354"/>
      <c r="H317" s="355"/>
      <c r="I317" s="354"/>
      <c r="J317" s="354"/>
      <c r="K317" s="354"/>
      <c r="L317" s="354"/>
      <c r="M317" s="354"/>
      <c r="N317" s="354"/>
      <c r="O317" s="355"/>
      <c r="P317" s="356"/>
      <c r="Q317" s="355"/>
    </row>
    <row r="318" spans="7:17" s="330" customFormat="1" ht="13.8" x14ac:dyDescent="0.3">
      <c r="G318" s="354"/>
      <c r="H318" s="355"/>
      <c r="I318" s="354"/>
      <c r="J318" s="354"/>
      <c r="K318" s="354"/>
      <c r="L318" s="354"/>
      <c r="M318" s="354"/>
      <c r="N318" s="354"/>
      <c r="O318" s="355"/>
      <c r="P318" s="356"/>
      <c r="Q318" s="355"/>
    </row>
    <row r="319" spans="7:17" s="330" customFormat="1" ht="13.8" x14ac:dyDescent="0.3">
      <c r="G319" s="354"/>
      <c r="H319" s="355"/>
      <c r="I319" s="354"/>
      <c r="J319" s="354"/>
      <c r="K319" s="354"/>
      <c r="L319" s="354"/>
      <c r="M319" s="354"/>
      <c r="N319" s="354"/>
      <c r="O319" s="355"/>
      <c r="P319" s="356"/>
      <c r="Q319" s="355"/>
    </row>
    <row r="320" spans="7:17" s="330" customFormat="1" ht="13.8" x14ac:dyDescent="0.3">
      <c r="G320" s="354"/>
      <c r="H320" s="355"/>
      <c r="I320" s="354"/>
      <c r="J320" s="354"/>
      <c r="K320" s="354"/>
      <c r="L320" s="354"/>
      <c r="M320" s="354"/>
      <c r="N320" s="354"/>
      <c r="O320" s="355"/>
      <c r="P320" s="356"/>
      <c r="Q320" s="355"/>
    </row>
    <row r="321" spans="7:17" s="330" customFormat="1" ht="13.8" x14ac:dyDescent="0.3">
      <c r="G321" s="354"/>
      <c r="H321" s="355"/>
      <c r="I321" s="354"/>
      <c r="J321" s="354"/>
      <c r="K321" s="354"/>
      <c r="L321" s="354"/>
      <c r="M321" s="354"/>
      <c r="N321" s="354"/>
      <c r="O321" s="355"/>
      <c r="P321" s="356"/>
      <c r="Q321" s="355"/>
    </row>
    <row r="322" spans="7:17" s="330" customFormat="1" ht="13.8" x14ac:dyDescent="0.3">
      <c r="G322" s="354"/>
      <c r="H322" s="355"/>
      <c r="I322" s="354"/>
      <c r="J322" s="354"/>
      <c r="K322" s="354"/>
      <c r="L322" s="354"/>
      <c r="M322" s="354"/>
      <c r="N322" s="354"/>
      <c r="O322" s="355"/>
      <c r="P322" s="356"/>
      <c r="Q322" s="355"/>
    </row>
    <row r="323" spans="7:17" s="330" customFormat="1" ht="13.8" x14ac:dyDescent="0.3">
      <c r="G323" s="354"/>
      <c r="H323" s="355"/>
      <c r="I323" s="354"/>
      <c r="J323" s="354"/>
      <c r="K323" s="354"/>
      <c r="L323" s="354"/>
      <c r="M323" s="354"/>
      <c r="N323" s="354"/>
      <c r="O323" s="355"/>
      <c r="P323" s="356"/>
      <c r="Q323" s="355"/>
    </row>
    <row r="324" spans="7:17" s="330" customFormat="1" ht="13.8" x14ac:dyDescent="0.3">
      <c r="G324" s="354"/>
      <c r="H324" s="355"/>
      <c r="I324" s="354"/>
      <c r="J324" s="354"/>
      <c r="K324" s="354"/>
      <c r="L324" s="354"/>
      <c r="M324" s="354"/>
      <c r="N324" s="354"/>
      <c r="O324" s="355"/>
      <c r="P324" s="356"/>
      <c r="Q324" s="355"/>
    </row>
    <row r="325" spans="7:17" s="330" customFormat="1" ht="13.8" x14ac:dyDescent="0.3">
      <c r="G325" s="354"/>
      <c r="H325" s="355"/>
      <c r="I325" s="354"/>
      <c r="J325" s="354"/>
      <c r="K325" s="354"/>
      <c r="L325" s="354"/>
      <c r="M325" s="354"/>
      <c r="N325" s="354"/>
      <c r="O325" s="355"/>
      <c r="P325" s="356"/>
      <c r="Q325" s="355"/>
    </row>
    <row r="326" spans="7:17" s="330" customFormat="1" ht="13.8" x14ac:dyDescent="0.3">
      <c r="G326" s="354"/>
      <c r="H326" s="355"/>
      <c r="I326" s="354"/>
      <c r="J326" s="354"/>
      <c r="K326" s="354"/>
      <c r="L326" s="354"/>
      <c r="M326" s="354"/>
      <c r="N326" s="354"/>
      <c r="O326" s="355"/>
      <c r="P326" s="356"/>
      <c r="Q326" s="355"/>
    </row>
    <row r="327" spans="7:17" s="330" customFormat="1" ht="13.8" x14ac:dyDescent="0.3">
      <c r="G327" s="354"/>
      <c r="H327" s="355"/>
      <c r="I327" s="354"/>
      <c r="J327" s="354"/>
      <c r="K327" s="354"/>
      <c r="L327" s="354"/>
      <c r="M327" s="354"/>
      <c r="N327" s="354"/>
      <c r="O327" s="355"/>
      <c r="P327" s="356"/>
      <c r="Q327" s="355"/>
    </row>
    <row r="328" spans="7:17" s="330" customFormat="1" ht="13.8" x14ac:dyDescent="0.3">
      <c r="G328" s="354"/>
      <c r="H328" s="355"/>
      <c r="I328" s="354"/>
      <c r="J328" s="354"/>
      <c r="K328" s="354"/>
      <c r="L328" s="354"/>
      <c r="M328" s="354"/>
      <c r="N328" s="354"/>
      <c r="O328" s="355"/>
      <c r="P328" s="356"/>
      <c r="Q328" s="355"/>
    </row>
    <row r="329" spans="7:17" s="330" customFormat="1" ht="13.8" x14ac:dyDescent="0.3">
      <c r="G329" s="354"/>
      <c r="H329" s="355"/>
      <c r="I329" s="354"/>
      <c r="J329" s="354"/>
      <c r="K329" s="354"/>
      <c r="L329" s="354"/>
      <c r="M329" s="354"/>
      <c r="N329" s="354"/>
      <c r="O329" s="355"/>
      <c r="P329" s="356"/>
      <c r="Q329" s="355"/>
    </row>
    <row r="330" spans="7:17" s="330" customFormat="1" ht="13.8" x14ac:dyDescent="0.3">
      <c r="G330" s="354"/>
      <c r="H330" s="355"/>
      <c r="I330" s="354"/>
      <c r="J330" s="354"/>
      <c r="K330" s="354"/>
      <c r="L330" s="354"/>
      <c r="M330" s="354"/>
      <c r="N330" s="354"/>
      <c r="O330" s="355"/>
      <c r="P330" s="356"/>
      <c r="Q330" s="355"/>
    </row>
    <row r="331" spans="7:17" s="330" customFormat="1" ht="13.8" x14ac:dyDescent="0.3">
      <c r="G331" s="354"/>
      <c r="H331" s="355"/>
      <c r="I331" s="354"/>
      <c r="J331" s="354"/>
      <c r="K331" s="354"/>
      <c r="L331" s="354"/>
      <c r="M331" s="354"/>
      <c r="N331" s="354"/>
      <c r="O331" s="355"/>
      <c r="P331" s="356"/>
      <c r="Q331" s="355"/>
    </row>
    <row r="332" spans="7:17" s="330" customFormat="1" ht="13.8" x14ac:dyDescent="0.3">
      <c r="G332" s="354"/>
      <c r="H332" s="355"/>
      <c r="I332" s="354"/>
      <c r="J332" s="354"/>
      <c r="K332" s="354"/>
      <c r="L332" s="354"/>
      <c r="M332" s="354"/>
      <c r="N332" s="354"/>
      <c r="O332" s="355"/>
      <c r="P332" s="356"/>
      <c r="Q332" s="355"/>
    </row>
    <row r="333" spans="7:17" s="330" customFormat="1" ht="13.8" x14ac:dyDescent="0.3">
      <c r="G333" s="354"/>
      <c r="H333" s="355"/>
      <c r="I333" s="354"/>
      <c r="J333" s="354"/>
      <c r="K333" s="354"/>
      <c r="L333" s="354"/>
      <c r="M333" s="354"/>
      <c r="N333" s="354"/>
      <c r="O333" s="355"/>
      <c r="P333" s="356"/>
      <c r="Q333" s="355"/>
    </row>
    <row r="334" spans="7:17" s="330" customFormat="1" ht="13.8" x14ac:dyDescent="0.3">
      <c r="G334" s="354"/>
      <c r="H334" s="355"/>
      <c r="I334" s="354"/>
      <c r="J334" s="354"/>
      <c r="K334" s="354"/>
      <c r="L334" s="354"/>
      <c r="M334" s="354"/>
      <c r="N334" s="354"/>
      <c r="O334" s="355"/>
      <c r="P334" s="356"/>
      <c r="Q334" s="355"/>
    </row>
    <row r="335" spans="7:17" s="330" customFormat="1" ht="13.8" x14ac:dyDescent="0.3">
      <c r="G335" s="354"/>
      <c r="H335" s="355"/>
      <c r="I335" s="354"/>
      <c r="J335" s="354"/>
      <c r="K335" s="354"/>
      <c r="L335" s="354"/>
      <c r="M335" s="354"/>
      <c r="N335" s="354"/>
      <c r="O335" s="355"/>
      <c r="P335" s="356"/>
      <c r="Q335" s="355"/>
    </row>
    <row r="336" spans="7:17" s="330" customFormat="1" ht="13.8" x14ac:dyDescent="0.3">
      <c r="G336" s="354"/>
      <c r="H336" s="355"/>
      <c r="I336" s="354"/>
      <c r="J336" s="354"/>
      <c r="K336" s="354"/>
      <c r="L336" s="354"/>
      <c r="M336" s="354"/>
      <c r="N336" s="354"/>
      <c r="O336" s="355"/>
      <c r="P336" s="356"/>
      <c r="Q336" s="355"/>
    </row>
    <row r="337" spans="7:17" s="330" customFormat="1" ht="13.8" x14ac:dyDescent="0.3">
      <c r="G337" s="354"/>
      <c r="H337" s="355"/>
      <c r="I337" s="354"/>
      <c r="J337" s="354"/>
      <c r="K337" s="354"/>
      <c r="L337" s="354"/>
      <c r="M337" s="354"/>
      <c r="N337" s="354"/>
      <c r="O337" s="355"/>
      <c r="P337" s="356"/>
      <c r="Q337" s="355"/>
    </row>
    <row r="338" spans="7:17" s="330" customFormat="1" ht="13.8" x14ac:dyDescent="0.3">
      <c r="G338" s="354"/>
      <c r="H338" s="355"/>
      <c r="I338" s="354"/>
      <c r="J338" s="354"/>
      <c r="K338" s="354"/>
      <c r="L338" s="354"/>
      <c r="M338" s="354"/>
      <c r="N338" s="354"/>
      <c r="O338" s="355"/>
      <c r="P338" s="356"/>
      <c r="Q338" s="355"/>
    </row>
    <row r="339" spans="7:17" s="330" customFormat="1" ht="13.8" x14ac:dyDescent="0.3">
      <c r="G339" s="354"/>
      <c r="H339" s="355"/>
      <c r="I339" s="354"/>
      <c r="J339" s="354"/>
      <c r="K339" s="354"/>
      <c r="L339" s="354"/>
      <c r="M339" s="354"/>
      <c r="N339" s="354"/>
      <c r="O339" s="355"/>
      <c r="P339" s="356"/>
      <c r="Q339" s="355"/>
    </row>
    <row r="340" spans="7:17" s="330" customFormat="1" ht="13.8" x14ac:dyDescent="0.3">
      <c r="G340" s="354"/>
      <c r="H340" s="355"/>
      <c r="I340" s="354"/>
      <c r="J340" s="354"/>
      <c r="K340" s="354"/>
      <c r="L340" s="354"/>
      <c r="M340" s="354"/>
      <c r="N340" s="354"/>
      <c r="O340" s="355"/>
      <c r="P340" s="356"/>
      <c r="Q340" s="355"/>
    </row>
    <row r="341" spans="7:17" s="330" customFormat="1" ht="13.8" x14ac:dyDescent="0.3">
      <c r="G341" s="354"/>
      <c r="H341" s="355"/>
      <c r="I341" s="354"/>
      <c r="J341" s="354"/>
      <c r="K341" s="354"/>
      <c r="L341" s="354"/>
      <c r="M341" s="354"/>
      <c r="N341" s="354"/>
      <c r="O341" s="355"/>
      <c r="P341" s="356"/>
      <c r="Q341" s="355"/>
    </row>
    <row r="342" spans="7:17" s="330" customFormat="1" ht="13.8" x14ac:dyDescent="0.3">
      <c r="G342" s="354"/>
      <c r="H342" s="355"/>
      <c r="I342" s="354"/>
      <c r="J342" s="354"/>
      <c r="K342" s="354"/>
      <c r="L342" s="354"/>
      <c r="M342" s="354"/>
      <c r="N342" s="354"/>
      <c r="O342" s="355"/>
      <c r="P342" s="356"/>
      <c r="Q342" s="355"/>
    </row>
    <row r="343" spans="7:17" s="330" customFormat="1" ht="13.8" x14ac:dyDescent="0.3">
      <c r="G343" s="354"/>
      <c r="H343" s="355"/>
      <c r="I343" s="354"/>
      <c r="J343" s="354"/>
      <c r="K343" s="354"/>
      <c r="L343" s="354"/>
      <c r="M343" s="354"/>
      <c r="N343" s="354"/>
      <c r="O343" s="355"/>
      <c r="P343" s="356"/>
      <c r="Q343" s="355"/>
    </row>
    <row r="344" spans="7:17" s="330" customFormat="1" ht="13.8" x14ac:dyDescent="0.3">
      <c r="G344" s="354"/>
      <c r="H344" s="355"/>
      <c r="I344" s="354"/>
      <c r="J344" s="354"/>
      <c r="K344" s="354"/>
      <c r="L344" s="354"/>
      <c r="M344" s="354"/>
      <c r="N344" s="354"/>
      <c r="O344" s="355"/>
      <c r="P344" s="356"/>
      <c r="Q344" s="355"/>
    </row>
    <row r="345" spans="7:17" s="330" customFormat="1" ht="13.8" x14ac:dyDescent="0.3">
      <c r="G345" s="354"/>
      <c r="H345" s="355"/>
      <c r="I345" s="354"/>
      <c r="J345" s="354"/>
      <c r="K345" s="354"/>
      <c r="L345" s="354"/>
      <c r="M345" s="354"/>
      <c r="N345" s="354"/>
      <c r="O345" s="355"/>
      <c r="P345" s="356"/>
      <c r="Q345" s="355"/>
    </row>
    <row r="346" spans="7:17" s="330" customFormat="1" ht="13.8" x14ac:dyDescent="0.3">
      <c r="G346" s="354"/>
      <c r="H346" s="355"/>
      <c r="I346" s="354"/>
      <c r="J346" s="354"/>
      <c r="K346" s="354"/>
      <c r="L346" s="354"/>
      <c r="M346" s="354"/>
      <c r="N346" s="354"/>
      <c r="O346" s="355"/>
      <c r="P346" s="356"/>
      <c r="Q346" s="355"/>
    </row>
    <row r="347" spans="7:17" s="330" customFormat="1" ht="13.8" x14ac:dyDescent="0.3">
      <c r="G347" s="354"/>
      <c r="H347" s="355"/>
      <c r="I347" s="354"/>
      <c r="J347" s="354"/>
      <c r="K347" s="354"/>
      <c r="L347" s="354"/>
      <c r="M347" s="354"/>
      <c r="N347" s="354"/>
      <c r="O347" s="355"/>
      <c r="P347" s="356"/>
      <c r="Q347" s="355"/>
    </row>
    <row r="348" spans="7:17" s="330" customFormat="1" ht="13.8" x14ac:dyDescent="0.3">
      <c r="G348" s="354"/>
      <c r="H348" s="355"/>
      <c r="I348" s="354"/>
      <c r="J348" s="354"/>
      <c r="K348" s="354"/>
      <c r="L348" s="354"/>
      <c r="M348" s="354"/>
      <c r="N348" s="354"/>
      <c r="O348" s="355"/>
      <c r="P348" s="356"/>
      <c r="Q348" s="355"/>
    </row>
    <row r="349" spans="7:17" s="330" customFormat="1" ht="13.8" x14ac:dyDescent="0.3">
      <c r="G349" s="354"/>
      <c r="H349" s="355"/>
      <c r="I349" s="354"/>
      <c r="J349" s="354"/>
      <c r="K349" s="354"/>
      <c r="L349" s="354"/>
      <c r="M349" s="354"/>
      <c r="N349" s="354"/>
      <c r="O349" s="355"/>
      <c r="P349" s="356"/>
      <c r="Q349" s="355"/>
    </row>
    <row r="350" spans="7:17" s="330" customFormat="1" ht="13.8" x14ac:dyDescent="0.3">
      <c r="G350" s="354"/>
      <c r="H350" s="355"/>
      <c r="I350" s="354"/>
      <c r="J350" s="354"/>
      <c r="K350" s="354"/>
      <c r="L350" s="354"/>
      <c r="M350" s="354"/>
      <c r="N350" s="354"/>
      <c r="O350" s="355"/>
      <c r="P350" s="356"/>
      <c r="Q350" s="355"/>
    </row>
    <row r="351" spans="7:17" s="330" customFormat="1" ht="13.8" x14ac:dyDescent="0.3">
      <c r="G351" s="354"/>
      <c r="H351" s="355"/>
      <c r="I351" s="354"/>
      <c r="J351" s="354"/>
      <c r="K351" s="354"/>
      <c r="L351" s="354"/>
      <c r="M351" s="354"/>
      <c r="N351" s="354"/>
      <c r="O351" s="355"/>
      <c r="P351" s="356"/>
      <c r="Q351" s="355"/>
    </row>
    <row r="352" spans="7:17" s="330" customFormat="1" ht="13.8" x14ac:dyDescent="0.3">
      <c r="G352" s="354"/>
      <c r="H352" s="355"/>
      <c r="I352" s="354"/>
      <c r="J352" s="354"/>
      <c r="K352" s="354"/>
      <c r="L352" s="354"/>
      <c r="M352" s="354"/>
      <c r="N352" s="354"/>
      <c r="O352" s="355"/>
      <c r="P352" s="356"/>
      <c r="Q352" s="355"/>
    </row>
    <row r="353" spans="7:17" s="330" customFormat="1" ht="13.8" x14ac:dyDescent="0.3">
      <c r="G353" s="354"/>
      <c r="H353" s="355"/>
      <c r="I353" s="354"/>
      <c r="J353" s="354"/>
      <c r="K353" s="354"/>
      <c r="L353" s="354"/>
      <c r="M353" s="354"/>
      <c r="N353" s="354"/>
      <c r="O353" s="355"/>
      <c r="P353" s="356"/>
      <c r="Q353" s="355"/>
    </row>
    <row r="354" spans="7:17" s="330" customFormat="1" ht="13.8" x14ac:dyDescent="0.3">
      <c r="G354" s="354"/>
      <c r="H354" s="355"/>
      <c r="I354" s="354"/>
      <c r="J354" s="354"/>
      <c r="K354" s="354"/>
      <c r="L354" s="354"/>
      <c r="M354" s="354"/>
      <c r="N354" s="354"/>
      <c r="O354" s="355"/>
      <c r="P354" s="356"/>
      <c r="Q354" s="355"/>
    </row>
    <row r="355" spans="7:17" s="330" customFormat="1" ht="13.8" x14ac:dyDescent="0.3">
      <c r="G355" s="354"/>
      <c r="H355" s="355"/>
      <c r="I355" s="354"/>
      <c r="J355" s="354"/>
      <c r="K355" s="354"/>
      <c r="L355" s="354"/>
      <c r="M355" s="354"/>
      <c r="N355" s="354"/>
      <c r="O355" s="355"/>
      <c r="P355" s="356"/>
      <c r="Q355" s="355"/>
    </row>
    <row r="356" spans="7:17" s="330" customFormat="1" ht="13.8" x14ac:dyDescent="0.3">
      <c r="G356" s="354"/>
      <c r="H356" s="355"/>
      <c r="I356" s="354"/>
      <c r="J356" s="354"/>
      <c r="K356" s="354"/>
      <c r="L356" s="354"/>
      <c r="M356" s="354"/>
      <c r="N356" s="354"/>
      <c r="O356" s="355"/>
      <c r="P356" s="356"/>
      <c r="Q356" s="355"/>
    </row>
    <row r="357" spans="7:17" s="330" customFormat="1" ht="13.8" x14ac:dyDescent="0.3">
      <c r="G357" s="354"/>
      <c r="H357" s="355"/>
      <c r="I357" s="354"/>
      <c r="J357" s="354"/>
      <c r="K357" s="354"/>
      <c r="L357" s="354"/>
      <c r="M357" s="354"/>
      <c r="N357" s="354"/>
      <c r="O357" s="355"/>
      <c r="P357" s="356"/>
      <c r="Q357" s="355"/>
    </row>
    <row r="358" spans="7:17" s="330" customFormat="1" ht="13.8" x14ac:dyDescent="0.3">
      <c r="G358" s="354"/>
      <c r="H358" s="355"/>
      <c r="I358" s="354"/>
      <c r="J358" s="354"/>
      <c r="K358" s="354"/>
      <c r="L358" s="354"/>
      <c r="M358" s="354"/>
      <c r="N358" s="354"/>
      <c r="O358" s="355"/>
      <c r="P358" s="356"/>
      <c r="Q358" s="355"/>
    </row>
    <row r="359" spans="7:17" s="330" customFormat="1" ht="13.8" x14ac:dyDescent="0.3">
      <c r="G359" s="354"/>
      <c r="H359" s="355"/>
      <c r="I359" s="354"/>
      <c r="J359" s="354"/>
      <c r="K359" s="354"/>
      <c r="L359" s="354"/>
      <c r="M359" s="354"/>
      <c r="N359" s="354"/>
      <c r="O359" s="355"/>
      <c r="P359" s="356"/>
      <c r="Q359" s="355"/>
    </row>
    <row r="360" spans="7:17" s="330" customFormat="1" ht="13.8" x14ac:dyDescent="0.3">
      <c r="G360" s="354"/>
      <c r="H360" s="355"/>
      <c r="I360" s="354"/>
      <c r="J360" s="354"/>
      <c r="K360" s="354"/>
      <c r="L360" s="354"/>
      <c r="M360" s="354"/>
      <c r="N360" s="354"/>
      <c r="O360" s="355"/>
      <c r="P360" s="356"/>
      <c r="Q360" s="355"/>
    </row>
    <row r="361" spans="7:17" s="330" customFormat="1" ht="13.8" x14ac:dyDescent="0.3">
      <c r="G361" s="354"/>
      <c r="H361" s="355"/>
      <c r="I361" s="354"/>
      <c r="J361" s="354"/>
      <c r="K361" s="354"/>
      <c r="L361" s="354"/>
      <c r="M361" s="354"/>
      <c r="N361" s="354"/>
      <c r="O361" s="355"/>
      <c r="P361" s="356"/>
      <c r="Q361" s="355"/>
    </row>
    <row r="362" spans="7:17" s="330" customFormat="1" ht="13.8" x14ac:dyDescent="0.3">
      <c r="G362" s="354"/>
      <c r="H362" s="355"/>
      <c r="I362" s="354"/>
      <c r="J362" s="354"/>
      <c r="K362" s="354"/>
      <c r="L362" s="354"/>
      <c r="M362" s="354"/>
      <c r="N362" s="354"/>
      <c r="O362" s="355"/>
      <c r="P362" s="356"/>
      <c r="Q362" s="355"/>
    </row>
    <row r="363" spans="7:17" s="330" customFormat="1" ht="13.8" x14ac:dyDescent="0.3">
      <c r="G363" s="354"/>
      <c r="H363" s="355"/>
      <c r="I363" s="354"/>
      <c r="J363" s="354"/>
      <c r="K363" s="354"/>
      <c r="L363" s="354"/>
      <c r="M363" s="354"/>
      <c r="N363" s="354"/>
      <c r="O363" s="355"/>
      <c r="P363" s="356"/>
      <c r="Q363" s="355"/>
    </row>
    <row r="364" spans="7:17" s="330" customFormat="1" ht="13.8" x14ac:dyDescent="0.3">
      <c r="G364" s="354"/>
      <c r="H364" s="355"/>
      <c r="I364" s="354"/>
      <c r="J364" s="354"/>
      <c r="K364" s="354"/>
      <c r="L364" s="354"/>
      <c r="M364" s="354"/>
      <c r="N364" s="354"/>
      <c r="O364" s="355"/>
      <c r="P364" s="356"/>
      <c r="Q364" s="355"/>
    </row>
    <row r="365" spans="7:17" s="330" customFormat="1" ht="13.8" x14ac:dyDescent="0.3">
      <c r="G365" s="354"/>
      <c r="H365" s="355"/>
      <c r="I365" s="354"/>
      <c r="J365" s="354"/>
      <c r="K365" s="354"/>
      <c r="L365" s="354"/>
      <c r="M365" s="354"/>
      <c r="N365" s="354"/>
      <c r="O365" s="355"/>
      <c r="P365" s="356"/>
      <c r="Q365" s="355"/>
    </row>
    <row r="366" spans="7:17" s="330" customFormat="1" ht="13.8" x14ac:dyDescent="0.3">
      <c r="G366" s="354"/>
      <c r="H366" s="355"/>
      <c r="I366" s="354"/>
      <c r="J366" s="354"/>
      <c r="K366" s="354"/>
      <c r="L366" s="354"/>
      <c r="M366" s="354"/>
      <c r="N366" s="354"/>
      <c r="O366" s="355"/>
      <c r="P366" s="356"/>
      <c r="Q366" s="355"/>
    </row>
    <row r="367" spans="7:17" s="330" customFormat="1" ht="13.8" x14ac:dyDescent="0.3">
      <c r="G367" s="354"/>
      <c r="H367" s="355"/>
      <c r="I367" s="354"/>
      <c r="J367" s="354"/>
      <c r="K367" s="354"/>
      <c r="L367" s="354"/>
      <c r="M367" s="354"/>
      <c r="N367" s="354"/>
      <c r="O367" s="355"/>
      <c r="P367" s="356"/>
      <c r="Q367" s="355"/>
    </row>
    <row r="368" spans="7:17" s="330" customFormat="1" ht="13.8" x14ac:dyDescent="0.3">
      <c r="G368" s="354"/>
      <c r="H368" s="355"/>
      <c r="I368" s="354"/>
      <c r="J368" s="354"/>
      <c r="K368" s="354"/>
      <c r="L368" s="354"/>
      <c r="M368" s="354"/>
      <c r="N368" s="354"/>
      <c r="O368" s="355"/>
      <c r="P368" s="356"/>
      <c r="Q368" s="355"/>
    </row>
    <row r="369" spans="2:98" s="330" customFormat="1" ht="13.8" x14ac:dyDescent="0.3">
      <c r="G369" s="354"/>
      <c r="H369" s="355"/>
      <c r="I369" s="354"/>
      <c r="J369" s="354"/>
      <c r="K369" s="354"/>
      <c r="L369" s="354"/>
      <c r="M369" s="354"/>
      <c r="N369" s="354"/>
      <c r="O369" s="355"/>
      <c r="P369" s="356"/>
      <c r="Q369" s="355"/>
    </row>
    <row r="370" spans="2:98" s="330" customFormat="1" ht="13.8" x14ac:dyDescent="0.3">
      <c r="G370" s="354"/>
      <c r="H370" s="355"/>
      <c r="I370" s="354"/>
      <c r="J370" s="354"/>
      <c r="K370" s="354"/>
      <c r="L370" s="354"/>
      <c r="M370" s="354"/>
      <c r="N370" s="354"/>
      <c r="O370" s="355"/>
      <c r="P370" s="356"/>
      <c r="Q370" s="355"/>
    </row>
    <row r="371" spans="2:98" s="330" customFormat="1" ht="13.8" x14ac:dyDescent="0.3">
      <c r="G371" s="354"/>
      <c r="H371" s="355"/>
      <c r="I371" s="354"/>
      <c r="J371" s="354"/>
      <c r="K371" s="354"/>
      <c r="L371" s="354"/>
      <c r="M371" s="354"/>
      <c r="N371" s="354"/>
      <c r="O371" s="355"/>
      <c r="P371" s="356"/>
      <c r="Q371" s="355"/>
    </row>
    <row r="372" spans="2:98" s="330" customFormat="1" ht="13.8" x14ac:dyDescent="0.3">
      <c r="G372" s="354"/>
      <c r="H372" s="355"/>
      <c r="I372" s="354"/>
      <c r="J372" s="354"/>
      <c r="K372" s="354"/>
      <c r="L372" s="354"/>
      <c r="M372" s="354"/>
      <c r="N372" s="354"/>
      <c r="O372" s="355"/>
      <c r="P372" s="356"/>
      <c r="Q372" s="355"/>
    </row>
    <row r="373" spans="2:98" x14ac:dyDescent="0.3">
      <c r="B373" s="330"/>
      <c r="C373" s="330"/>
      <c r="D373" s="330"/>
      <c r="E373" s="330"/>
      <c r="F373" s="330"/>
      <c r="G373" s="354"/>
      <c r="H373" s="355"/>
      <c r="K373" s="354"/>
      <c r="L373" s="354"/>
      <c r="M373" s="354"/>
      <c r="N373" s="354"/>
      <c r="R373" s="315"/>
      <c r="S373" s="315"/>
      <c r="T373" s="315"/>
      <c r="U373" s="315"/>
      <c r="V373" s="315"/>
      <c r="W373" s="315"/>
      <c r="X373" s="315"/>
      <c r="Y373" s="315"/>
      <c r="Z373" s="315"/>
      <c r="AA373" s="315"/>
      <c r="AB373" s="315"/>
      <c r="AC373" s="315"/>
      <c r="AD373" s="315"/>
      <c r="AE373" s="315"/>
      <c r="AF373" s="315"/>
      <c r="AG373" s="315"/>
      <c r="AH373" s="315"/>
      <c r="AI373" s="315"/>
      <c r="AJ373" s="315"/>
      <c r="AK373" s="315"/>
      <c r="AL373" s="315"/>
      <c r="AM373" s="315"/>
      <c r="AN373" s="315"/>
      <c r="AO373" s="315"/>
      <c r="AP373" s="315"/>
      <c r="AQ373" s="315"/>
      <c r="AR373" s="315"/>
      <c r="AS373" s="315"/>
      <c r="AT373" s="315"/>
      <c r="AU373" s="315"/>
      <c r="AV373" s="315"/>
      <c r="AW373" s="315"/>
      <c r="AX373" s="315"/>
      <c r="AY373" s="315"/>
      <c r="AZ373" s="315"/>
      <c r="BA373" s="315"/>
      <c r="BB373" s="315"/>
      <c r="BC373" s="315"/>
      <c r="BD373" s="315"/>
      <c r="BE373" s="315"/>
      <c r="BF373" s="315"/>
      <c r="BG373" s="315"/>
      <c r="BH373" s="315"/>
      <c r="BI373" s="315"/>
      <c r="BJ373" s="315"/>
      <c r="BK373" s="315"/>
      <c r="BL373" s="315"/>
      <c r="BM373" s="315"/>
      <c r="BN373" s="315"/>
      <c r="BO373" s="315"/>
      <c r="BP373" s="315"/>
      <c r="BQ373" s="315"/>
      <c r="BR373" s="315"/>
      <c r="BS373" s="315"/>
      <c r="BT373" s="315"/>
      <c r="BU373" s="315"/>
      <c r="BV373" s="315"/>
      <c r="BW373" s="315"/>
      <c r="BX373" s="315"/>
      <c r="BY373" s="315"/>
      <c r="BZ373" s="315"/>
      <c r="CA373" s="315"/>
      <c r="CB373" s="315"/>
      <c r="CC373" s="315"/>
      <c r="CD373" s="315"/>
      <c r="CE373" s="315"/>
      <c r="CF373" s="315"/>
      <c r="CG373" s="315"/>
      <c r="CH373" s="315"/>
      <c r="CI373" s="315"/>
      <c r="CJ373" s="315"/>
      <c r="CK373" s="315"/>
      <c r="CL373" s="315"/>
      <c r="CM373" s="315"/>
      <c r="CN373" s="315"/>
      <c r="CO373" s="315"/>
      <c r="CP373" s="315"/>
      <c r="CQ373" s="315"/>
      <c r="CR373" s="315"/>
      <c r="CS373" s="315"/>
      <c r="CT373" s="315"/>
    </row>
    <row r="374" spans="2:98" x14ac:dyDescent="0.3">
      <c r="B374" s="330"/>
      <c r="C374" s="330"/>
      <c r="D374" s="330"/>
      <c r="E374" s="330"/>
      <c r="F374" s="330"/>
      <c r="G374" s="354"/>
      <c r="H374" s="355"/>
      <c r="K374" s="354"/>
      <c r="L374" s="354"/>
      <c r="M374" s="354"/>
      <c r="N374" s="354"/>
      <c r="R374" s="315"/>
      <c r="S374" s="315"/>
      <c r="T374" s="315"/>
      <c r="U374" s="315"/>
      <c r="V374" s="315"/>
      <c r="W374" s="315"/>
      <c r="X374" s="315"/>
      <c r="Y374" s="315"/>
      <c r="Z374" s="315"/>
      <c r="AA374" s="315"/>
      <c r="AB374" s="315"/>
      <c r="AC374" s="315"/>
      <c r="AD374" s="315"/>
      <c r="AE374" s="315"/>
      <c r="AF374" s="315"/>
      <c r="AG374" s="315"/>
      <c r="AH374" s="315"/>
      <c r="AI374" s="315"/>
      <c r="AJ374" s="315"/>
      <c r="AK374" s="315"/>
      <c r="AL374" s="315"/>
      <c r="AM374" s="315"/>
      <c r="AN374" s="315"/>
      <c r="AO374" s="315"/>
      <c r="AP374" s="315"/>
      <c r="AQ374" s="315"/>
      <c r="AR374" s="315"/>
      <c r="AS374" s="315"/>
      <c r="AT374" s="315"/>
      <c r="AU374" s="315"/>
      <c r="AV374" s="315"/>
      <c r="AW374" s="315"/>
      <c r="AX374" s="315"/>
      <c r="AY374" s="315"/>
      <c r="AZ374" s="315"/>
      <c r="BA374" s="315"/>
      <c r="BB374" s="315"/>
      <c r="BC374" s="315"/>
      <c r="BD374" s="315"/>
      <c r="BE374" s="315"/>
      <c r="BF374" s="315"/>
      <c r="BG374" s="315"/>
      <c r="BH374" s="315"/>
      <c r="BI374" s="315"/>
      <c r="BJ374" s="315"/>
      <c r="BK374" s="315"/>
      <c r="BL374" s="315"/>
      <c r="BM374" s="315"/>
      <c r="BN374" s="315"/>
      <c r="BO374" s="315"/>
      <c r="BP374" s="315"/>
      <c r="BQ374" s="315"/>
      <c r="BR374" s="315"/>
      <c r="BS374" s="315"/>
      <c r="BT374" s="315"/>
      <c r="BU374" s="315"/>
      <c r="BV374" s="315"/>
      <c r="BW374" s="315"/>
      <c r="BX374" s="315"/>
      <c r="BY374" s="315"/>
      <c r="BZ374" s="315"/>
      <c r="CA374" s="315"/>
      <c r="CB374" s="315"/>
      <c r="CC374" s="315"/>
      <c r="CD374" s="315"/>
      <c r="CE374" s="315"/>
      <c r="CF374" s="315"/>
      <c r="CG374" s="315"/>
      <c r="CH374" s="315"/>
      <c r="CI374" s="315"/>
      <c r="CJ374" s="315"/>
      <c r="CK374" s="315"/>
      <c r="CL374" s="315"/>
      <c r="CM374" s="315"/>
      <c r="CN374" s="315"/>
      <c r="CO374" s="315"/>
      <c r="CP374" s="315"/>
      <c r="CQ374" s="315"/>
      <c r="CR374" s="315"/>
      <c r="CS374" s="315"/>
      <c r="CT374" s="315"/>
    </row>
    <row r="375" spans="2:98" x14ac:dyDescent="0.3">
      <c r="B375" s="330"/>
      <c r="C375" s="330"/>
      <c r="D375" s="330"/>
      <c r="E375" s="330"/>
      <c r="F375" s="330"/>
      <c r="G375" s="354"/>
      <c r="H375" s="355"/>
      <c r="K375" s="354"/>
      <c r="L375" s="354"/>
      <c r="M375" s="354"/>
      <c r="N375" s="354"/>
      <c r="R375" s="315"/>
      <c r="S375" s="315"/>
      <c r="T375" s="315"/>
      <c r="U375" s="315"/>
      <c r="V375" s="315"/>
      <c r="W375" s="315"/>
      <c r="X375" s="315"/>
      <c r="Y375" s="315"/>
      <c r="Z375" s="315"/>
      <c r="AA375" s="315"/>
      <c r="AB375" s="315"/>
      <c r="AC375" s="315"/>
      <c r="AD375" s="315"/>
      <c r="AE375" s="315"/>
      <c r="AF375" s="315"/>
      <c r="AG375" s="315"/>
      <c r="AH375" s="315"/>
      <c r="AI375" s="315"/>
      <c r="AJ375" s="315"/>
      <c r="AK375" s="315"/>
      <c r="AL375" s="315"/>
      <c r="AM375" s="315"/>
      <c r="AN375" s="315"/>
      <c r="AO375" s="315"/>
      <c r="AP375" s="315"/>
      <c r="AQ375" s="315"/>
      <c r="AR375" s="315"/>
      <c r="AS375" s="315"/>
      <c r="AT375" s="315"/>
      <c r="AU375" s="315"/>
      <c r="AV375" s="315"/>
      <c r="AW375" s="315"/>
      <c r="AX375" s="315"/>
      <c r="AY375" s="315"/>
      <c r="AZ375" s="315"/>
      <c r="BA375" s="315"/>
      <c r="BB375" s="315"/>
      <c r="BC375" s="315"/>
      <c r="BD375" s="315"/>
      <c r="BE375" s="315"/>
      <c r="BF375" s="315"/>
      <c r="BG375" s="315"/>
      <c r="BH375" s="315"/>
      <c r="BI375" s="315"/>
      <c r="BJ375" s="315"/>
      <c r="BK375" s="315"/>
      <c r="BL375" s="315"/>
      <c r="BM375" s="315"/>
      <c r="BN375" s="315"/>
      <c r="BO375" s="315"/>
      <c r="BP375" s="315"/>
      <c r="BQ375" s="315"/>
      <c r="BR375" s="315"/>
      <c r="BS375" s="315"/>
      <c r="BT375" s="315"/>
      <c r="BU375" s="315"/>
      <c r="BV375" s="315"/>
      <c r="BW375" s="315"/>
      <c r="BX375" s="315"/>
      <c r="BY375" s="315"/>
      <c r="BZ375" s="315"/>
      <c r="CA375" s="315"/>
      <c r="CB375" s="315"/>
      <c r="CC375" s="315"/>
      <c r="CD375" s="315"/>
      <c r="CE375" s="315"/>
      <c r="CF375" s="315"/>
      <c r="CG375" s="315"/>
      <c r="CH375" s="315"/>
      <c r="CI375" s="315"/>
      <c r="CJ375" s="315"/>
      <c r="CK375" s="315"/>
      <c r="CL375" s="315"/>
      <c r="CM375" s="315"/>
      <c r="CN375" s="315"/>
      <c r="CO375" s="315"/>
      <c r="CP375" s="315"/>
      <c r="CQ375" s="315"/>
      <c r="CR375" s="315"/>
      <c r="CS375" s="315"/>
      <c r="CT375" s="315"/>
    </row>
    <row r="376" spans="2:98" x14ac:dyDescent="0.3">
      <c r="B376" s="330"/>
      <c r="C376" s="330"/>
      <c r="D376" s="330"/>
      <c r="E376" s="330"/>
      <c r="F376" s="330"/>
      <c r="G376" s="354"/>
      <c r="H376" s="355"/>
      <c r="K376" s="354"/>
      <c r="L376" s="354"/>
      <c r="M376" s="354"/>
      <c r="N376" s="354"/>
      <c r="R376" s="315"/>
      <c r="S376" s="315"/>
      <c r="T376" s="315"/>
      <c r="U376" s="315"/>
      <c r="V376" s="315"/>
      <c r="W376" s="315"/>
      <c r="X376" s="315"/>
      <c r="Y376" s="315"/>
      <c r="Z376" s="315"/>
      <c r="AA376" s="315"/>
      <c r="AB376" s="315"/>
      <c r="AC376" s="315"/>
      <c r="AD376" s="315"/>
      <c r="AE376" s="315"/>
      <c r="AF376" s="315"/>
      <c r="AG376" s="315"/>
      <c r="AH376" s="315"/>
      <c r="AI376" s="315"/>
      <c r="AJ376" s="315"/>
      <c r="AK376" s="315"/>
      <c r="AL376" s="315"/>
      <c r="AM376" s="315"/>
      <c r="AN376" s="315"/>
      <c r="AO376" s="315"/>
      <c r="AP376" s="315"/>
      <c r="AQ376" s="315"/>
      <c r="AR376" s="315"/>
      <c r="AS376" s="315"/>
      <c r="AT376" s="315"/>
      <c r="AU376" s="315"/>
      <c r="AV376" s="315"/>
      <c r="AW376" s="315"/>
      <c r="AX376" s="315"/>
      <c r="AY376" s="315"/>
      <c r="AZ376" s="315"/>
      <c r="BA376" s="315"/>
      <c r="BB376" s="315"/>
      <c r="BC376" s="315"/>
      <c r="BD376" s="315"/>
      <c r="BE376" s="315"/>
      <c r="BF376" s="315"/>
      <c r="BG376" s="315"/>
      <c r="BH376" s="315"/>
      <c r="BI376" s="315"/>
      <c r="BJ376" s="315"/>
      <c r="BK376" s="315"/>
      <c r="BL376" s="315"/>
      <c r="BM376" s="315"/>
      <c r="BN376" s="315"/>
      <c r="BO376" s="315"/>
      <c r="BP376" s="315"/>
      <c r="BQ376" s="315"/>
      <c r="BR376" s="315"/>
      <c r="BS376" s="315"/>
      <c r="BT376" s="315"/>
      <c r="BU376" s="315"/>
      <c r="BV376" s="315"/>
      <c r="BW376" s="315"/>
      <c r="BX376" s="315"/>
      <c r="BY376" s="315"/>
      <c r="BZ376" s="315"/>
      <c r="CA376" s="315"/>
      <c r="CB376" s="315"/>
      <c r="CC376" s="315"/>
      <c r="CD376" s="315"/>
      <c r="CE376" s="315"/>
      <c r="CF376" s="315"/>
      <c r="CG376" s="315"/>
      <c r="CH376" s="315"/>
      <c r="CI376" s="315"/>
      <c r="CJ376" s="315"/>
      <c r="CK376" s="315"/>
      <c r="CL376" s="315"/>
      <c r="CM376" s="315"/>
      <c r="CN376" s="315"/>
      <c r="CO376" s="315"/>
      <c r="CP376" s="315"/>
      <c r="CQ376" s="315"/>
      <c r="CR376" s="315"/>
      <c r="CS376" s="315"/>
      <c r="CT376" s="315"/>
    </row>
    <row r="377" spans="2:98" x14ac:dyDescent="0.3">
      <c r="B377" s="330"/>
      <c r="C377" s="330"/>
      <c r="D377" s="330"/>
      <c r="E377" s="330"/>
      <c r="F377" s="330"/>
      <c r="G377" s="354"/>
      <c r="H377" s="355"/>
      <c r="K377" s="354"/>
      <c r="L377" s="354"/>
      <c r="M377" s="354"/>
      <c r="N377" s="354"/>
      <c r="R377" s="315"/>
      <c r="S377" s="315"/>
      <c r="T377" s="315"/>
      <c r="U377" s="315"/>
      <c r="V377" s="315"/>
      <c r="W377" s="315"/>
      <c r="X377" s="315"/>
      <c r="Y377" s="315"/>
      <c r="Z377" s="315"/>
      <c r="AA377" s="315"/>
      <c r="AB377" s="315"/>
      <c r="AC377" s="315"/>
      <c r="AD377" s="315"/>
      <c r="AE377" s="315"/>
      <c r="AF377" s="315"/>
      <c r="AG377" s="315"/>
      <c r="AH377" s="315"/>
      <c r="AI377" s="315"/>
      <c r="AJ377" s="315"/>
      <c r="AK377" s="315"/>
      <c r="AL377" s="315"/>
      <c r="AM377" s="315"/>
      <c r="AN377" s="315"/>
      <c r="AO377" s="315"/>
      <c r="AP377" s="315"/>
      <c r="AQ377" s="315"/>
      <c r="AR377" s="315"/>
      <c r="AS377" s="315"/>
      <c r="AT377" s="315"/>
      <c r="AU377" s="315"/>
      <c r="AV377" s="315"/>
      <c r="AW377" s="315"/>
      <c r="AX377" s="315"/>
      <c r="AY377" s="315"/>
      <c r="AZ377" s="315"/>
      <c r="BA377" s="315"/>
      <c r="BB377" s="315"/>
      <c r="BC377" s="315"/>
      <c r="BD377" s="315"/>
      <c r="BE377" s="315"/>
      <c r="BF377" s="315"/>
      <c r="BG377" s="315"/>
      <c r="BH377" s="315"/>
      <c r="BI377" s="315"/>
      <c r="BJ377" s="315"/>
      <c r="BK377" s="315"/>
      <c r="BL377" s="315"/>
      <c r="BM377" s="315"/>
      <c r="BN377" s="315"/>
      <c r="BO377" s="315"/>
      <c r="BP377" s="315"/>
      <c r="BQ377" s="315"/>
      <c r="BR377" s="315"/>
      <c r="BS377" s="315"/>
      <c r="BT377" s="315"/>
      <c r="BU377" s="315"/>
      <c r="BV377" s="315"/>
      <c r="BW377" s="315"/>
      <c r="BX377" s="315"/>
      <c r="BY377" s="315"/>
      <c r="BZ377" s="315"/>
      <c r="CA377" s="315"/>
      <c r="CB377" s="315"/>
      <c r="CC377" s="315"/>
      <c r="CD377" s="315"/>
      <c r="CE377" s="315"/>
      <c r="CF377" s="315"/>
      <c r="CG377" s="315"/>
      <c r="CH377" s="315"/>
      <c r="CI377" s="315"/>
      <c r="CJ377" s="315"/>
      <c r="CK377" s="315"/>
      <c r="CL377" s="315"/>
      <c r="CM377" s="315"/>
      <c r="CN377" s="315"/>
      <c r="CO377" s="315"/>
      <c r="CP377" s="315"/>
      <c r="CQ377" s="315"/>
      <c r="CR377" s="315"/>
      <c r="CS377" s="315"/>
      <c r="CT377" s="315"/>
    </row>
    <row r="378" spans="2:98" x14ac:dyDescent="0.3">
      <c r="B378" s="330"/>
      <c r="C378" s="330"/>
      <c r="D378" s="330"/>
      <c r="E378" s="330"/>
      <c r="F378" s="330"/>
      <c r="G378" s="354"/>
      <c r="H378" s="355"/>
      <c r="K378" s="354"/>
      <c r="L378" s="354"/>
      <c r="M378" s="354"/>
      <c r="N378" s="354"/>
      <c r="R378" s="315"/>
      <c r="S378" s="315"/>
      <c r="T378" s="315"/>
      <c r="U378" s="315"/>
      <c r="V378" s="315"/>
      <c r="W378" s="315"/>
      <c r="X378" s="315"/>
      <c r="Y378" s="315"/>
      <c r="Z378" s="315"/>
      <c r="AA378" s="315"/>
      <c r="AB378" s="315"/>
      <c r="AC378" s="315"/>
      <c r="AD378" s="315"/>
      <c r="AE378" s="315"/>
      <c r="AF378" s="315"/>
      <c r="AG378" s="315"/>
      <c r="AH378" s="315"/>
      <c r="AI378" s="315"/>
      <c r="AJ378" s="315"/>
      <c r="AK378" s="315"/>
      <c r="AL378" s="315"/>
      <c r="AM378" s="315"/>
      <c r="AN378" s="315"/>
      <c r="AO378" s="315"/>
      <c r="AP378" s="315"/>
      <c r="AQ378" s="315"/>
      <c r="AR378" s="315"/>
      <c r="AS378" s="315"/>
      <c r="AT378" s="315"/>
      <c r="AU378" s="315"/>
      <c r="AV378" s="315"/>
      <c r="AW378" s="315"/>
      <c r="AX378" s="315"/>
      <c r="AY378" s="315"/>
      <c r="AZ378" s="315"/>
      <c r="BA378" s="315"/>
      <c r="BB378" s="315"/>
      <c r="BC378" s="315"/>
      <c r="BD378" s="315"/>
      <c r="BE378" s="315"/>
      <c r="BF378" s="315"/>
      <c r="BG378" s="315"/>
      <c r="BH378" s="315"/>
      <c r="BI378" s="315"/>
      <c r="BJ378" s="315"/>
      <c r="BK378" s="315"/>
      <c r="BL378" s="315"/>
      <c r="BM378" s="315"/>
      <c r="BN378" s="315"/>
      <c r="BO378" s="315"/>
      <c r="BP378" s="315"/>
      <c r="BQ378" s="315"/>
      <c r="BR378" s="315"/>
      <c r="BS378" s="315"/>
      <c r="BT378" s="315"/>
      <c r="BU378" s="315"/>
      <c r="BV378" s="315"/>
      <c r="BW378" s="315"/>
      <c r="BX378" s="315"/>
      <c r="BY378" s="315"/>
      <c r="BZ378" s="315"/>
      <c r="CA378" s="315"/>
      <c r="CB378" s="315"/>
      <c r="CC378" s="315"/>
      <c r="CD378" s="315"/>
      <c r="CE378" s="315"/>
      <c r="CF378" s="315"/>
      <c r="CG378" s="315"/>
      <c r="CH378" s="315"/>
      <c r="CI378" s="315"/>
      <c r="CJ378" s="315"/>
      <c r="CK378" s="315"/>
      <c r="CL378" s="315"/>
      <c r="CM378" s="315"/>
      <c r="CN378" s="315"/>
      <c r="CO378" s="315"/>
      <c r="CP378" s="315"/>
      <c r="CQ378" s="315"/>
      <c r="CR378" s="315"/>
      <c r="CS378" s="315"/>
      <c r="CT378" s="315"/>
    </row>
    <row r="379" spans="2:98" x14ac:dyDescent="0.3">
      <c r="B379" s="330"/>
      <c r="C379" s="330"/>
      <c r="D379" s="330"/>
      <c r="E379" s="330"/>
      <c r="F379" s="330"/>
      <c r="G379" s="354"/>
      <c r="H379" s="355"/>
      <c r="K379" s="354"/>
      <c r="L379" s="354"/>
      <c r="M379" s="354"/>
      <c r="N379" s="354"/>
      <c r="R379" s="315"/>
      <c r="S379" s="315"/>
      <c r="T379" s="315"/>
      <c r="U379" s="315"/>
      <c r="V379" s="315"/>
      <c r="W379" s="315"/>
      <c r="X379" s="315"/>
      <c r="Y379" s="315"/>
      <c r="Z379" s="315"/>
      <c r="AA379" s="315"/>
      <c r="AB379" s="315"/>
      <c r="AC379" s="315"/>
      <c r="AD379" s="315"/>
      <c r="AE379" s="315"/>
      <c r="AF379" s="315"/>
      <c r="AG379" s="315"/>
      <c r="AH379" s="315"/>
      <c r="AI379" s="315"/>
      <c r="AJ379" s="315"/>
      <c r="AK379" s="315"/>
      <c r="AL379" s="315"/>
      <c r="AM379" s="315"/>
      <c r="AN379" s="315"/>
      <c r="AO379" s="315"/>
      <c r="AP379" s="315"/>
      <c r="AQ379" s="315"/>
      <c r="AR379" s="315"/>
      <c r="AS379" s="315"/>
      <c r="AT379" s="315"/>
      <c r="AU379" s="315"/>
      <c r="AV379" s="315"/>
      <c r="AW379" s="315"/>
      <c r="AX379" s="315"/>
      <c r="AY379" s="315"/>
      <c r="AZ379" s="315"/>
      <c r="BA379" s="315"/>
      <c r="BB379" s="315"/>
      <c r="BC379" s="315"/>
      <c r="BD379" s="315"/>
      <c r="BE379" s="315"/>
      <c r="BF379" s="315"/>
      <c r="BG379" s="315"/>
      <c r="BH379" s="315"/>
      <c r="BI379" s="315"/>
      <c r="BJ379" s="315"/>
      <c r="BK379" s="315"/>
      <c r="BL379" s="315"/>
      <c r="BM379" s="315"/>
      <c r="BN379" s="315"/>
      <c r="BO379" s="315"/>
      <c r="BP379" s="315"/>
      <c r="BQ379" s="315"/>
      <c r="BR379" s="315"/>
      <c r="BS379" s="315"/>
      <c r="BT379" s="315"/>
      <c r="BU379" s="315"/>
      <c r="BV379" s="315"/>
      <c r="BW379" s="315"/>
      <c r="BX379" s="315"/>
      <c r="BY379" s="315"/>
      <c r="BZ379" s="315"/>
      <c r="CA379" s="315"/>
      <c r="CB379" s="315"/>
      <c r="CC379" s="315"/>
      <c r="CD379" s="315"/>
      <c r="CE379" s="315"/>
      <c r="CF379" s="315"/>
      <c r="CG379" s="315"/>
      <c r="CH379" s="315"/>
      <c r="CI379" s="315"/>
      <c r="CJ379" s="315"/>
      <c r="CK379" s="315"/>
      <c r="CL379" s="315"/>
      <c r="CM379" s="315"/>
      <c r="CN379" s="315"/>
      <c r="CO379" s="315"/>
      <c r="CP379" s="315"/>
      <c r="CQ379" s="315"/>
      <c r="CR379" s="315"/>
      <c r="CS379" s="315"/>
      <c r="CT379" s="315"/>
    </row>
    <row r="380" spans="2:98" x14ac:dyDescent="0.3">
      <c r="B380" s="330"/>
      <c r="C380" s="330"/>
      <c r="D380" s="330"/>
      <c r="E380" s="330"/>
      <c r="F380" s="330"/>
      <c r="G380" s="354"/>
      <c r="H380" s="355"/>
      <c r="K380" s="354"/>
      <c r="L380" s="354"/>
      <c r="M380" s="354"/>
      <c r="N380" s="354"/>
      <c r="R380" s="315"/>
      <c r="S380" s="315"/>
      <c r="T380" s="315"/>
      <c r="U380" s="315"/>
      <c r="V380" s="315"/>
      <c r="W380" s="315"/>
      <c r="X380" s="315"/>
      <c r="Y380" s="315"/>
      <c r="Z380" s="315"/>
      <c r="AA380" s="315"/>
      <c r="AB380" s="315"/>
      <c r="AC380" s="315"/>
      <c r="AD380" s="315"/>
      <c r="AE380" s="315"/>
      <c r="AF380" s="315"/>
      <c r="AG380" s="315"/>
      <c r="AH380" s="315"/>
      <c r="AI380" s="315"/>
      <c r="AJ380" s="315"/>
      <c r="AK380" s="315"/>
      <c r="AL380" s="315"/>
      <c r="AM380" s="315"/>
      <c r="AN380" s="315"/>
      <c r="AO380" s="315"/>
      <c r="AP380" s="315"/>
      <c r="AQ380" s="315"/>
      <c r="AR380" s="315"/>
      <c r="AS380" s="315"/>
      <c r="AT380" s="315"/>
      <c r="AU380" s="315"/>
      <c r="AV380" s="315"/>
      <c r="AW380" s="315"/>
      <c r="AX380" s="315"/>
      <c r="AY380" s="315"/>
      <c r="AZ380" s="315"/>
      <c r="BA380" s="315"/>
      <c r="BB380" s="315"/>
      <c r="BC380" s="315"/>
      <c r="BD380" s="315"/>
      <c r="BE380" s="315"/>
      <c r="BF380" s="315"/>
      <c r="BG380" s="315"/>
      <c r="BH380" s="315"/>
      <c r="BI380" s="315"/>
      <c r="BJ380" s="315"/>
      <c r="BK380" s="315"/>
      <c r="BL380" s="315"/>
      <c r="BM380" s="315"/>
      <c r="BN380" s="315"/>
      <c r="BO380" s="315"/>
      <c r="BP380" s="315"/>
      <c r="BQ380" s="315"/>
      <c r="BR380" s="315"/>
      <c r="BS380" s="315"/>
      <c r="BT380" s="315"/>
      <c r="BU380" s="315"/>
      <c r="BV380" s="315"/>
      <c r="BW380" s="315"/>
      <c r="BX380" s="315"/>
      <c r="BY380" s="315"/>
      <c r="BZ380" s="315"/>
      <c r="CA380" s="315"/>
      <c r="CB380" s="315"/>
      <c r="CC380" s="315"/>
      <c r="CD380" s="315"/>
      <c r="CE380" s="315"/>
      <c r="CF380" s="315"/>
      <c r="CG380" s="315"/>
      <c r="CH380" s="315"/>
      <c r="CI380" s="315"/>
      <c r="CJ380" s="315"/>
      <c r="CK380" s="315"/>
      <c r="CL380" s="315"/>
      <c r="CM380" s="315"/>
      <c r="CN380" s="315"/>
      <c r="CO380" s="315"/>
      <c r="CP380" s="315"/>
      <c r="CQ380" s="315"/>
      <c r="CR380" s="315"/>
      <c r="CS380" s="315"/>
      <c r="CT380" s="315"/>
    </row>
    <row r="381" spans="2:98" x14ac:dyDescent="0.3">
      <c r="B381" s="330"/>
      <c r="C381" s="330"/>
      <c r="D381" s="330"/>
      <c r="E381" s="330"/>
      <c r="F381" s="330"/>
      <c r="G381" s="354"/>
      <c r="H381" s="355"/>
      <c r="K381" s="354"/>
      <c r="L381" s="354"/>
      <c r="M381" s="354"/>
      <c r="N381" s="354"/>
      <c r="R381" s="315"/>
      <c r="S381" s="315"/>
      <c r="T381" s="315"/>
      <c r="U381" s="315"/>
      <c r="V381" s="315"/>
      <c r="W381" s="315"/>
      <c r="X381" s="315"/>
      <c r="Y381" s="315"/>
      <c r="Z381" s="315"/>
      <c r="AA381" s="315"/>
      <c r="AB381" s="315"/>
      <c r="AC381" s="315"/>
      <c r="AD381" s="315"/>
      <c r="AE381" s="315"/>
      <c r="AF381" s="315"/>
      <c r="AG381" s="315"/>
      <c r="AH381" s="315"/>
      <c r="AI381" s="315"/>
      <c r="AJ381" s="315"/>
      <c r="AK381" s="315"/>
      <c r="AL381" s="315"/>
      <c r="AM381" s="315"/>
      <c r="AN381" s="315"/>
      <c r="AO381" s="315"/>
      <c r="AP381" s="315"/>
      <c r="AQ381" s="315"/>
      <c r="AR381" s="315"/>
      <c r="AS381" s="315"/>
      <c r="AT381" s="315"/>
      <c r="AU381" s="315"/>
      <c r="AV381" s="315"/>
      <c r="AW381" s="315"/>
      <c r="AX381" s="315"/>
      <c r="AY381" s="315"/>
      <c r="AZ381" s="315"/>
      <c r="BA381" s="315"/>
      <c r="BB381" s="315"/>
      <c r="BC381" s="315"/>
      <c r="BD381" s="315"/>
      <c r="BE381" s="315"/>
      <c r="BF381" s="315"/>
      <c r="BG381" s="315"/>
      <c r="BH381" s="315"/>
      <c r="BI381" s="315"/>
      <c r="BJ381" s="315"/>
      <c r="BK381" s="315"/>
      <c r="BL381" s="315"/>
      <c r="BM381" s="315"/>
      <c r="BN381" s="315"/>
      <c r="BO381" s="315"/>
      <c r="BP381" s="315"/>
      <c r="BQ381" s="315"/>
      <c r="BR381" s="315"/>
      <c r="BS381" s="315"/>
      <c r="BT381" s="315"/>
      <c r="BU381" s="315"/>
      <c r="BV381" s="315"/>
      <c r="BW381" s="315"/>
      <c r="BX381" s="315"/>
      <c r="BY381" s="315"/>
      <c r="BZ381" s="315"/>
      <c r="CA381" s="315"/>
      <c r="CB381" s="315"/>
      <c r="CC381" s="315"/>
      <c r="CD381" s="315"/>
      <c r="CE381" s="315"/>
      <c r="CF381" s="315"/>
      <c r="CG381" s="315"/>
      <c r="CH381" s="315"/>
      <c r="CI381" s="315"/>
      <c r="CJ381" s="315"/>
      <c r="CK381" s="315"/>
      <c r="CL381" s="315"/>
      <c r="CM381" s="315"/>
      <c r="CN381" s="315"/>
      <c r="CO381" s="315"/>
      <c r="CP381" s="315"/>
      <c r="CQ381" s="315"/>
      <c r="CR381" s="315"/>
      <c r="CS381" s="315"/>
      <c r="CT381" s="315"/>
    </row>
    <row r="382" spans="2:98" x14ac:dyDescent="0.3">
      <c r="B382" s="330"/>
      <c r="C382" s="330"/>
      <c r="D382" s="330"/>
      <c r="E382" s="330"/>
      <c r="F382" s="330"/>
      <c r="G382" s="354"/>
      <c r="H382" s="355"/>
      <c r="K382" s="354"/>
      <c r="L382" s="354"/>
      <c r="M382" s="354"/>
      <c r="N382" s="354"/>
      <c r="R382" s="315"/>
      <c r="S382" s="315"/>
      <c r="T382" s="315"/>
      <c r="U382" s="315"/>
      <c r="V382" s="315"/>
      <c r="W382" s="315"/>
      <c r="X382" s="315"/>
      <c r="Y382" s="315"/>
      <c r="Z382" s="315"/>
      <c r="AA382" s="315"/>
      <c r="AB382" s="315"/>
      <c r="AC382" s="315"/>
      <c r="AD382" s="315"/>
      <c r="AE382" s="315"/>
      <c r="AF382" s="315"/>
      <c r="AG382" s="315"/>
      <c r="AH382" s="315"/>
      <c r="AI382" s="315"/>
      <c r="AJ382" s="315"/>
      <c r="AK382" s="315"/>
      <c r="AL382" s="315"/>
      <c r="AM382" s="315"/>
      <c r="AN382" s="315"/>
      <c r="AO382" s="315"/>
      <c r="AP382" s="315"/>
      <c r="AQ382" s="315"/>
      <c r="AR382" s="315"/>
      <c r="AS382" s="315"/>
      <c r="AT382" s="315"/>
      <c r="AU382" s="315"/>
      <c r="AV382" s="315"/>
      <c r="AW382" s="315"/>
      <c r="AX382" s="315"/>
      <c r="AY382" s="315"/>
      <c r="AZ382" s="315"/>
      <c r="BA382" s="315"/>
      <c r="BB382" s="315"/>
      <c r="BC382" s="315"/>
      <c r="BD382" s="315"/>
      <c r="BE382" s="315"/>
      <c r="BF382" s="315"/>
      <c r="BG382" s="315"/>
      <c r="BH382" s="315"/>
      <c r="BI382" s="315"/>
      <c r="BJ382" s="315"/>
      <c r="BK382" s="315"/>
      <c r="BL382" s="315"/>
      <c r="BM382" s="315"/>
      <c r="BN382" s="315"/>
      <c r="BO382" s="315"/>
      <c r="BP382" s="315"/>
      <c r="BQ382" s="315"/>
      <c r="BR382" s="315"/>
      <c r="BS382" s="315"/>
      <c r="BT382" s="315"/>
      <c r="BU382" s="315"/>
      <c r="BV382" s="315"/>
      <c r="BW382" s="315"/>
      <c r="BX382" s="315"/>
      <c r="BY382" s="315"/>
      <c r="BZ382" s="315"/>
      <c r="CA382" s="315"/>
      <c r="CB382" s="315"/>
      <c r="CC382" s="315"/>
      <c r="CD382" s="315"/>
      <c r="CE382" s="315"/>
      <c r="CF382" s="315"/>
      <c r="CG382" s="315"/>
      <c r="CH382" s="315"/>
      <c r="CI382" s="315"/>
      <c r="CJ382" s="315"/>
      <c r="CK382" s="315"/>
      <c r="CL382" s="315"/>
      <c r="CM382" s="315"/>
      <c r="CN382" s="315"/>
      <c r="CO382" s="315"/>
      <c r="CP382" s="315"/>
      <c r="CQ382" s="315"/>
      <c r="CR382" s="315"/>
      <c r="CS382" s="315"/>
      <c r="CT382" s="315"/>
    </row>
    <row r="383" spans="2:98" x14ac:dyDescent="0.3">
      <c r="B383" s="330"/>
      <c r="C383" s="330"/>
      <c r="D383" s="330"/>
      <c r="E383" s="330"/>
      <c r="F383" s="330"/>
      <c r="G383" s="354"/>
      <c r="H383" s="355"/>
      <c r="K383" s="354"/>
      <c r="L383" s="354"/>
      <c r="M383" s="354"/>
      <c r="N383" s="354"/>
      <c r="R383" s="315"/>
      <c r="S383" s="315"/>
      <c r="T383" s="315"/>
      <c r="U383" s="315"/>
      <c r="V383" s="315"/>
      <c r="W383" s="315"/>
      <c r="X383" s="315"/>
      <c r="Y383" s="315"/>
      <c r="Z383" s="315"/>
      <c r="AA383" s="315"/>
      <c r="AB383" s="315"/>
      <c r="AC383" s="315"/>
      <c r="AD383" s="315"/>
      <c r="AE383" s="315"/>
      <c r="AF383" s="315"/>
      <c r="AG383" s="315"/>
      <c r="AH383" s="315"/>
      <c r="AI383" s="315"/>
      <c r="AJ383" s="315"/>
      <c r="AK383" s="315"/>
      <c r="AL383" s="315"/>
      <c r="AM383" s="315"/>
      <c r="AN383" s="315"/>
      <c r="AO383" s="315"/>
      <c r="AP383" s="315"/>
      <c r="AQ383" s="315"/>
      <c r="AR383" s="315"/>
      <c r="AS383" s="315"/>
      <c r="AT383" s="315"/>
      <c r="AU383" s="315"/>
      <c r="AV383" s="315"/>
      <c r="AW383" s="315"/>
      <c r="AX383" s="315"/>
      <c r="AY383" s="315"/>
      <c r="AZ383" s="315"/>
      <c r="BA383" s="315"/>
      <c r="BB383" s="315"/>
      <c r="BC383" s="315"/>
      <c r="BD383" s="315"/>
      <c r="BE383" s="315"/>
      <c r="BF383" s="315"/>
      <c r="BG383" s="315"/>
      <c r="BH383" s="315"/>
      <c r="BI383" s="315"/>
      <c r="BJ383" s="315"/>
      <c r="BK383" s="315"/>
      <c r="BL383" s="315"/>
      <c r="BM383" s="315"/>
      <c r="BN383" s="315"/>
      <c r="BO383" s="315"/>
      <c r="BP383" s="315"/>
      <c r="BQ383" s="315"/>
      <c r="BR383" s="315"/>
      <c r="BS383" s="315"/>
      <c r="BT383" s="315"/>
      <c r="BU383" s="315"/>
      <c r="BV383" s="315"/>
      <c r="BW383" s="315"/>
      <c r="BX383" s="315"/>
      <c r="BY383" s="315"/>
      <c r="BZ383" s="315"/>
      <c r="CA383" s="315"/>
      <c r="CB383" s="315"/>
      <c r="CC383" s="315"/>
      <c r="CD383" s="315"/>
      <c r="CE383" s="315"/>
      <c r="CF383" s="315"/>
      <c r="CG383" s="315"/>
      <c r="CH383" s="315"/>
      <c r="CI383" s="315"/>
      <c r="CJ383" s="315"/>
      <c r="CK383" s="315"/>
      <c r="CL383" s="315"/>
      <c r="CM383" s="315"/>
      <c r="CN383" s="315"/>
      <c r="CO383" s="315"/>
      <c r="CP383" s="315"/>
      <c r="CQ383" s="315"/>
      <c r="CR383" s="315"/>
      <c r="CS383" s="315"/>
      <c r="CT383" s="315"/>
    </row>
    <row r="384" spans="2:98" x14ac:dyDescent="0.3">
      <c r="B384" s="330"/>
      <c r="C384" s="330"/>
      <c r="D384" s="330"/>
      <c r="E384" s="330"/>
      <c r="F384" s="330"/>
      <c r="G384" s="354"/>
      <c r="H384" s="355"/>
      <c r="K384" s="354"/>
      <c r="L384" s="354"/>
      <c r="M384" s="354"/>
      <c r="N384" s="354"/>
      <c r="R384" s="315"/>
      <c r="S384" s="315"/>
      <c r="T384" s="315"/>
      <c r="U384" s="315"/>
      <c r="V384" s="315"/>
      <c r="W384" s="315"/>
      <c r="X384" s="315"/>
      <c r="Y384" s="315"/>
      <c r="Z384" s="315"/>
      <c r="AA384" s="315"/>
      <c r="AB384" s="315"/>
      <c r="AC384" s="315"/>
      <c r="AD384" s="315"/>
      <c r="AE384" s="315"/>
      <c r="AF384" s="315"/>
      <c r="AG384" s="315"/>
      <c r="AH384" s="315"/>
      <c r="AI384" s="315"/>
      <c r="AJ384" s="315"/>
      <c r="AK384" s="315"/>
      <c r="AL384" s="315"/>
      <c r="AM384" s="315"/>
      <c r="AN384" s="315"/>
      <c r="AO384" s="315"/>
      <c r="AP384" s="315"/>
      <c r="AQ384" s="315"/>
      <c r="AR384" s="315"/>
      <c r="AS384" s="315"/>
      <c r="AT384" s="315"/>
      <c r="AU384" s="315"/>
      <c r="AV384" s="315"/>
      <c r="AW384" s="315"/>
      <c r="AX384" s="315"/>
      <c r="AY384" s="315"/>
      <c r="AZ384" s="315"/>
      <c r="BA384" s="315"/>
      <c r="BB384" s="315"/>
      <c r="BC384" s="315"/>
      <c r="BD384" s="315"/>
      <c r="BE384" s="315"/>
      <c r="BF384" s="315"/>
      <c r="BG384" s="315"/>
      <c r="BH384" s="315"/>
      <c r="BI384" s="315"/>
      <c r="BJ384" s="315"/>
      <c r="BK384" s="315"/>
      <c r="BL384" s="315"/>
      <c r="BM384" s="315"/>
      <c r="BN384" s="315"/>
      <c r="BO384" s="315"/>
      <c r="BP384" s="315"/>
      <c r="BQ384" s="315"/>
      <c r="BR384" s="315"/>
      <c r="BS384" s="315"/>
      <c r="BT384" s="315"/>
      <c r="BU384" s="315"/>
      <c r="BV384" s="315"/>
      <c r="BW384" s="315"/>
      <c r="BX384" s="315"/>
      <c r="BY384" s="315"/>
      <c r="BZ384" s="315"/>
      <c r="CA384" s="315"/>
      <c r="CB384" s="315"/>
      <c r="CC384" s="315"/>
      <c r="CD384" s="315"/>
      <c r="CE384" s="315"/>
      <c r="CF384" s="315"/>
      <c r="CG384" s="315"/>
      <c r="CH384" s="315"/>
      <c r="CI384" s="315"/>
      <c r="CJ384" s="315"/>
      <c r="CK384" s="315"/>
      <c r="CL384" s="315"/>
      <c r="CM384" s="315"/>
      <c r="CN384" s="315"/>
      <c r="CO384" s="315"/>
      <c r="CP384" s="315"/>
      <c r="CQ384" s="315"/>
      <c r="CR384" s="315"/>
      <c r="CS384" s="315"/>
      <c r="CT384" s="315"/>
    </row>
    <row r="385" spans="2:98" x14ac:dyDescent="0.3">
      <c r="B385" s="330"/>
      <c r="C385" s="330"/>
      <c r="D385" s="330"/>
      <c r="E385" s="330"/>
      <c r="F385" s="330"/>
      <c r="G385" s="354"/>
      <c r="H385" s="355"/>
      <c r="K385" s="354"/>
      <c r="L385" s="354"/>
      <c r="M385" s="354"/>
      <c r="N385" s="354"/>
      <c r="R385" s="315"/>
      <c r="S385" s="315"/>
      <c r="T385" s="315"/>
      <c r="U385" s="315"/>
      <c r="V385" s="315"/>
      <c r="W385" s="315"/>
      <c r="X385" s="315"/>
      <c r="Y385" s="315"/>
      <c r="Z385" s="315"/>
      <c r="AA385" s="315"/>
      <c r="AB385" s="315"/>
      <c r="AC385" s="315"/>
      <c r="AD385" s="315"/>
      <c r="AE385" s="315"/>
      <c r="AF385" s="315"/>
      <c r="AG385" s="315"/>
      <c r="AH385" s="315"/>
      <c r="AI385" s="315"/>
      <c r="AJ385" s="315"/>
      <c r="AK385" s="315"/>
      <c r="AL385" s="315"/>
      <c r="AM385" s="315"/>
      <c r="AN385" s="315"/>
      <c r="AO385" s="315"/>
      <c r="AP385" s="315"/>
      <c r="AQ385" s="315"/>
      <c r="AR385" s="315"/>
      <c r="AS385" s="315"/>
      <c r="AT385" s="315"/>
      <c r="AU385" s="315"/>
      <c r="AV385" s="315"/>
      <c r="AW385" s="315"/>
      <c r="AX385" s="315"/>
      <c r="AY385" s="315"/>
      <c r="AZ385" s="315"/>
      <c r="BA385" s="315"/>
      <c r="BB385" s="315"/>
      <c r="BC385" s="315"/>
      <c r="BD385" s="315"/>
      <c r="BE385" s="315"/>
      <c r="BF385" s="315"/>
      <c r="BG385" s="315"/>
      <c r="BH385" s="315"/>
      <c r="BI385" s="315"/>
      <c r="BJ385" s="315"/>
      <c r="BK385" s="315"/>
      <c r="BL385" s="315"/>
      <c r="BM385" s="315"/>
      <c r="BN385" s="315"/>
      <c r="BO385" s="315"/>
      <c r="BP385" s="315"/>
      <c r="BQ385" s="315"/>
      <c r="BR385" s="315"/>
      <c r="BS385" s="315"/>
      <c r="BT385" s="315"/>
      <c r="BU385" s="315"/>
      <c r="BV385" s="315"/>
      <c r="BW385" s="315"/>
      <c r="BX385" s="315"/>
      <c r="BY385" s="315"/>
      <c r="BZ385" s="315"/>
      <c r="CA385" s="315"/>
      <c r="CB385" s="315"/>
      <c r="CC385" s="315"/>
      <c r="CD385" s="315"/>
      <c r="CE385" s="315"/>
      <c r="CF385" s="315"/>
      <c r="CG385" s="315"/>
      <c r="CH385" s="315"/>
      <c r="CI385" s="315"/>
      <c r="CJ385" s="315"/>
      <c r="CK385" s="315"/>
      <c r="CL385" s="315"/>
      <c r="CM385" s="315"/>
      <c r="CN385" s="315"/>
      <c r="CO385" s="315"/>
      <c r="CP385" s="315"/>
      <c r="CQ385" s="315"/>
      <c r="CR385" s="315"/>
      <c r="CS385" s="315"/>
      <c r="CT385" s="315"/>
    </row>
    <row r="386" spans="2:98" x14ac:dyDescent="0.3">
      <c r="B386" s="330"/>
      <c r="C386" s="330"/>
      <c r="D386" s="330"/>
      <c r="E386" s="330"/>
      <c r="F386" s="330"/>
      <c r="G386" s="354"/>
      <c r="H386" s="355"/>
      <c r="K386" s="354"/>
      <c r="L386" s="354"/>
      <c r="M386" s="354"/>
      <c r="N386" s="354"/>
      <c r="R386" s="315"/>
      <c r="S386" s="315"/>
      <c r="T386" s="315"/>
      <c r="U386" s="315"/>
      <c r="V386" s="315"/>
      <c r="W386" s="315"/>
      <c r="X386" s="315"/>
      <c r="Y386" s="315"/>
      <c r="Z386" s="315"/>
      <c r="AA386" s="315"/>
      <c r="AB386" s="315"/>
      <c r="AC386" s="315"/>
      <c r="AD386" s="315"/>
      <c r="AE386" s="315"/>
      <c r="AF386" s="315"/>
      <c r="AG386" s="315"/>
      <c r="AH386" s="315"/>
      <c r="AI386" s="315"/>
      <c r="AJ386" s="315"/>
      <c r="AK386" s="315"/>
      <c r="AL386" s="315"/>
      <c r="AM386" s="315"/>
      <c r="AN386" s="315"/>
      <c r="AO386" s="315"/>
      <c r="AP386" s="315"/>
      <c r="AQ386" s="315"/>
      <c r="AR386" s="315"/>
      <c r="AS386" s="315"/>
      <c r="AT386" s="315"/>
      <c r="AU386" s="315"/>
      <c r="AV386" s="315"/>
      <c r="AW386" s="315"/>
      <c r="AX386" s="315"/>
      <c r="AY386" s="315"/>
      <c r="AZ386" s="315"/>
      <c r="BA386" s="315"/>
      <c r="BB386" s="315"/>
      <c r="BC386" s="315"/>
      <c r="BD386" s="315"/>
      <c r="BE386" s="315"/>
      <c r="BF386" s="315"/>
      <c r="BG386" s="315"/>
      <c r="BH386" s="315"/>
      <c r="BI386" s="315"/>
      <c r="BJ386" s="315"/>
      <c r="BK386" s="315"/>
      <c r="BL386" s="315"/>
      <c r="BM386" s="315"/>
      <c r="BN386" s="315"/>
      <c r="BO386" s="315"/>
      <c r="BP386" s="315"/>
      <c r="BQ386" s="315"/>
      <c r="BR386" s="315"/>
      <c r="BS386" s="315"/>
      <c r="BT386" s="315"/>
      <c r="BU386" s="315"/>
      <c r="BV386" s="315"/>
      <c r="BW386" s="315"/>
      <c r="BX386" s="315"/>
      <c r="BY386" s="315"/>
      <c r="BZ386" s="315"/>
      <c r="CA386" s="315"/>
      <c r="CB386" s="315"/>
      <c r="CC386" s="315"/>
      <c r="CD386" s="315"/>
      <c r="CE386" s="315"/>
      <c r="CF386" s="315"/>
      <c r="CG386" s="315"/>
      <c r="CH386" s="315"/>
      <c r="CI386" s="315"/>
      <c r="CJ386" s="315"/>
      <c r="CK386" s="315"/>
      <c r="CL386" s="315"/>
      <c r="CM386" s="315"/>
      <c r="CN386" s="315"/>
      <c r="CO386" s="315"/>
      <c r="CP386" s="315"/>
      <c r="CQ386" s="315"/>
      <c r="CR386" s="315"/>
      <c r="CS386" s="315"/>
      <c r="CT386" s="315"/>
    </row>
    <row r="387" spans="2:98" x14ac:dyDescent="0.3">
      <c r="B387" s="330"/>
      <c r="C387" s="330"/>
      <c r="D387" s="330"/>
      <c r="E387" s="330"/>
      <c r="F387" s="330"/>
      <c r="G387" s="354"/>
      <c r="H387" s="355"/>
      <c r="K387" s="354"/>
      <c r="L387" s="354"/>
      <c r="M387" s="354"/>
      <c r="N387" s="354"/>
      <c r="R387" s="315"/>
      <c r="S387" s="315"/>
      <c r="T387" s="315"/>
      <c r="U387" s="315"/>
      <c r="V387" s="315"/>
      <c r="W387" s="315"/>
      <c r="X387" s="315"/>
      <c r="Y387" s="315"/>
      <c r="Z387" s="315"/>
      <c r="AA387" s="315"/>
      <c r="AB387" s="315"/>
      <c r="AC387" s="315"/>
      <c r="AD387" s="315"/>
      <c r="AE387" s="315"/>
      <c r="AF387" s="315"/>
      <c r="AG387" s="315"/>
      <c r="AH387" s="315"/>
      <c r="AI387" s="315"/>
      <c r="AJ387" s="315"/>
      <c r="AK387" s="315"/>
      <c r="AL387" s="315"/>
      <c r="AM387" s="315"/>
      <c r="AN387" s="315"/>
      <c r="AO387" s="315"/>
      <c r="AP387" s="315"/>
      <c r="AQ387" s="315"/>
      <c r="AR387" s="315"/>
      <c r="AS387" s="315"/>
      <c r="AT387" s="315"/>
      <c r="AU387" s="315"/>
      <c r="AV387" s="315"/>
      <c r="AW387" s="315"/>
      <c r="AX387" s="315"/>
      <c r="AY387" s="315"/>
      <c r="AZ387" s="315"/>
      <c r="BA387" s="315"/>
      <c r="BB387" s="315"/>
      <c r="BC387" s="315"/>
      <c r="BD387" s="315"/>
      <c r="BE387" s="315"/>
      <c r="BF387" s="315"/>
      <c r="BG387" s="315"/>
      <c r="BH387" s="315"/>
      <c r="BI387" s="315"/>
      <c r="BJ387" s="315"/>
      <c r="BK387" s="315"/>
      <c r="BL387" s="315"/>
      <c r="BM387" s="315"/>
      <c r="BN387" s="315"/>
      <c r="BO387" s="315"/>
      <c r="BP387" s="315"/>
      <c r="BQ387" s="315"/>
      <c r="BR387" s="315"/>
      <c r="BS387" s="315"/>
      <c r="BT387" s="315"/>
      <c r="BU387" s="315"/>
      <c r="BV387" s="315"/>
      <c r="BW387" s="315"/>
      <c r="BX387" s="315"/>
      <c r="BY387" s="315"/>
      <c r="BZ387" s="315"/>
      <c r="CA387" s="315"/>
      <c r="CB387" s="315"/>
      <c r="CC387" s="315"/>
      <c r="CD387" s="315"/>
      <c r="CE387" s="315"/>
      <c r="CF387" s="315"/>
      <c r="CG387" s="315"/>
      <c r="CH387" s="315"/>
      <c r="CI387" s="315"/>
      <c r="CJ387" s="315"/>
      <c r="CK387" s="315"/>
      <c r="CL387" s="315"/>
      <c r="CM387" s="315"/>
      <c r="CN387" s="315"/>
      <c r="CO387" s="315"/>
      <c r="CP387" s="315"/>
      <c r="CQ387" s="315"/>
      <c r="CR387" s="315"/>
      <c r="CS387" s="315"/>
      <c r="CT387" s="315"/>
    </row>
    <row r="388" spans="2:98" x14ac:dyDescent="0.3">
      <c r="B388" s="330"/>
      <c r="C388" s="330"/>
      <c r="D388" s="330"/>
      <c r="E388" s="330"/>
      <c r="F388" s="330"/>
      <c r="G388" s="354"/>
      <c r="H388" s="355"/>
      <c r="K388" s="354"/>
      <c r="L388" s="354"/>
      <c r="M388" s="354"/>
      <c r="N388" s="354"/>
      <c r="R388" s="315"/>
      <c r="S388" s="315"/>
      <c r="T388" s="315"/>
      <c r="U388" s="315"/>
      <c r="V388" s="315"/>
      <c r="W388" s="315"/>
      <c r="X388" s="315"/>
      <c r="Y388" s="315"/>
      <c r="Z388" s="315"/>
      <c r="AA388" s="315"/>
      <c r="AB388" s="315"/>
      <c r="AC388" s="315"/>
      <c r="AD388" s="315"/>
      <c r="AE388" s="315"/>
      <c r="AF388" s="315"/>
      <c r="AG388" s="315"/>
      <c r="AH388" s="315"/>
      <c r="AI388" s="315"/>
      <c r="AJ388" s="315"/>
      <c r="AK388" s="315"/>
      <c r="AL388" s="315"/>
      <c r="AM388" s="315"/>
      <c r="AN388" s="315"/>
      <c r="AO388" s="315"/>
      <c r="AP388" s="315"/>
      <c r="AQ388" s="315"/>
      <c r="AR388" s="315"/>
      <c r="AS388" s="315"/>
      <c r="AT388" s="315"/>
      <c r="AU388" s="315"/>
      <c r="AV388" s="315"/>
      <c r="AW388" s="315"/>
      <c r="AX388" s="315"/>
      <c r="AY388" s="315"/>
      <c r="AZ388" s="315"/>
      <c r="BA388" s="315"/>
      <c r="BB388" s="315"/>
      <c r="BC388" s="315"/>
      <c r="BD388" s="315"/>
      <c r="BE388" s="315"/>
      <c r="BF388" s="315"/>
      <c r="BG388" s="315"/>
      <c r="BH388" s="315"/>
      <c r="BI388" s="315"/>
      <c r="BJ388" s="315"/>
      <c r="BK388" s="315"/>
      <c r="BL388" s="315"/>
      <c r="BM388" s="315"/>
      <c r="BN388" s="315"/>
      <c r="BO388" s="315"/>
      <c r="BP388" s="315"/>
      <c r="BQ388" s="315"/>
      <c r="BR388" s="315"/>
      <c r="BS388" s="315"/>
      <c r="BT388" s="315"/>
      <c r="BU388" s="315"/>
      <c r="BV388" s="315"/>
      <c r="BW388" s="315"/>
      <c r="BX388" s="315"/>
      <c r="BY388" s="315"/>
      <c r="BZ388" s="315"/>
      <c r="CA388" s="315"/>
      <c r="CB388" s="315"/>
      <c r="CC388" s="315"/>
      <c r="CD388" s="315"/>
      <c r="CE388" s="315"/>
      <c r="CF388" s="315"/>
      <c r="CG388" s="315"/>
      <c r="CH388" s="315"/>
      <c r="CI388" s="315"/>
      <c r="CJ388" s="315"/>
      <c r="CK388" s="315"/>
      <c r="CL388" s="315"/>
      <c r="CM388" s="315"/>
      <c r="CN388" s="315"/>
      <c r="CO388" s="315"/>
      <c r="CP388" s="315"/>
      <c r="CQ388" s="315"/>
      <c r="CR388" s="315"/>
      <c r="CS388" s="315"/>
      <c r="CT388" s="315"/>
    </row>
    <row r="389" spans="2:98" x14ac:dyDescent="0.3">
      <c r="B389" s="330"/>
      <c r="C389" s="330"/>
      <c r="D389" s="330"/>
      <c r="E389" s="330"/>
      <c r="F389" s="330"/>
      <c r="G389" s="354"/>
      <c r="H389" s="355"/>
      <c r="K389" s="354"/>
      <c r="L389" s="354"/>
      <c r="M389" s="354"/>
      <c r="N389" s="354"/>
      <c r="R389" s="315"/>
      <c r="S389" s="315"/>
      <c r="T389" s="315"/>
      <c r="U389" s="315"/>
      <c r="V389" s="315"/>
      <c r="W389" s="315"/>
      <c r="X389" s="315"/>
      <c r="Y389" s="315"/>
      <c r="Z389" s="315"/>
      <c r="AA389" s="315"/>
      <c r="AB389" s="315"/>
      <c r="AC389" s="315"/>
      <c r="AD389" s="315"/>
      <c r="AE389" s="315"/>
      <c r="AF389" s="315"/>
      <c r="AG389" s="315"/>
      <c r="AH389" s="315"/>
      <c r="AI389" s="315"/>
      <c r="AJ389" s="315"/>
      <c r="AK389" s="315"/>
      <c r="AL389" s="315"/>
      <c r="AM389" s="315"/>
      <c r="AN389" s="315"/>
      <c r="AO389" s="315"/>
      <c r="AP389" s="315"/>
      <c r="AQ389" s="315"/>
      <c r="AR389" s="315"/>
      <c r="AS389" s="315"/>
      <c r="AT389" s="315"/>
      <c r="AU389" s="315"/>
      <c r="AV389" s="315"/>
      <c r="AW389" s="315"/>
      <c r="AX389" s="315"/>
      <c r="AY389" s="315"/>
      <c r="AZ389" s="315"/>
      <c r="BA389" s="315"/>
      <c r="BB389" s="315"/>
      <c r="BC389" s="315"/>
      <c r="BD389" s="315"/>
      <c r="BE389" s="315"/>
      <c r="BF389" s="315"/>
      <c r="BG389" s="315"/>
      <c r="BH389" s="315"/>
      <c r="BI389" s="315"/>
      <c r="BJ389" s="315"/>
      <c r="BK389" s="315"/>
      <c r="BL389" s="315"/>
      <c r="BM389" s="315"/>
      <c r="BN389" s="315"/>
      <c r="BO389" s="315"/>
      <c r="BP389" s="315"/>
      <c r="BQ389" s="315"/>
      <c r="BR389" s="315"/>
      <c r="BS389" s="315"/>
      <c r="BT389" s="315"/>
      <c r="BU389" s="315"/>
      <c r="BV389" s="315"/>
      <c r="BW389" s="315"/>
      <c r="BX389" s="315"/>
      <c r="BY389" s="315"/>
      <c r="BZ389" s="315"/>
      <c r="CA389" s="315"/>
      <c r="CB389" s="315"/>
      <c r="CC389" s="315"/>
      <c r="CD389" s="315"/>
      <c r="CE389" s="315"/>
      <c r="CF389" s="315"/>
      <c r="CG389" s="315"/>
      <c r="CH389" s="315"/>
      <c r="CI389" s="315"/>
      <c r="CJ389" s="315"/>
      <c r="CK389" s="315"/>
      <c r="CL389" s="315"/>
      <c r="CM389" s="315"/>
      <c r="CN389" s="315"/>
      <c r="CO389" s="315"/>
      <c r="CP389" s="315"/>
      <c r="CQ389" s="315"/>
      <c r="CR389" s="315"/>
      <c r="CS389" s="315"/>
      <c r="CT389" s="315"/>
    </row>
    <row r="390" spans="2:98" x14ac:dyDescent="0.3">
      <c r="B390" s="330"/>
      <c r="C390" s="330"/>
      <c r="D390" s="330"/>
      <c r="E390" s="330"/>
      <c r="F390" s="330"/>
      <c r="G390" s="354"/>
      <c r="H390" s="355"/>
      <c r="K390" s="354"/>
      <c r="L390" s="354"/>
      <c r="M390" s="354"/>
      <c r="N390" s="354"/>
      <c r="R390" s="315"/>
      <c r="S390" s="315"/>
      <c r="T390" s="315"/>
      <c r="U390" s="315"/>
      <c r="V390" s="315"/>
      <c r="W390" s="315"/>
      <c r="X390" s="315"/>
      <c r="Y390" s="315"/>
      <c r="Z390" s="315"/>
      <c r="AA390" s="315"/>
      <c r="AB390" s="315"/>
      <c r="AC390" s="315"/>
      <c r="AD390" s="315"/>
      <c r="AE390" s="315"/>
      <c r="AF390" s="315"/>
      <c r="AG390" s="315"/>
      <c r="AH390" s="315"/>
      <c r="AI390" s="315"/>
      <c r="AJ390" s="315"/>
      <c r="AK390" s="315"/>
      <c r="AL390" s="315"/>
      <c r="AM390" s="315"/>
      <c r="AN390" s="315"/>
      <c r="AO390" s="315"/>
      <c r="AP390" s="315"/>
      <c r="AQ390" s="315"/>
      <c r="AR390" s="315"/>
      <c r="AS390" s="315"/>
      <c r="AT390" s="315"/>
      <c r="AU390" s="315"/>
      <c r="AV390" s="315"/>
      <c r="AW390" s="315"/>
      <c r="AX390" s="315"/>
      <c r="AY390" s="315"/>
      <c r="AZ390" s="315"/>
      <c r="BA390" s="315"/>
      <c r="BB390" s="315"/>
      <c r="BC390" s="315"/>
      <c r="BD390" s="315"/>
      <c r="BE390" s="315"/>
      <c r="BF390" s="315"/>
      <c r="BG390" s="315"/>
      <c r="BH390" s="315"/>
      <c r="BI390" s="315"/>
      <c r="BJ390" s="315"/>
      <c r="BK390" s="315"/>
      <c r="BL390" s="315"/>
      <c r="BM390" s="315"/>
      <c r="BN390" s="315"/>
      <c r="BO390" s="315"/>
      <c r="BP390" s="315"/>
      <c r="BQ390" s="315"/>
      <c r="BR390" s="315"/>
      <c r="BS390" s="315"/>
      <c r="BT390" s="315"/>
      <c r="BU390" s="315"/>
      <c r="BV390" s="315"/>
      <c r="BW390" s="315"/>
      <c r="BX390" s="315"/>
      <c r="BY390" s="315"/>
      <c r="BZ390" s="315"/>
      <c r="CA390" s="315"/>
      <c r="CB390" s="315"/>
      <c r="CC390" s="315"/>
      <c r="CD390" s="315"/>
      <c r="CE390" s="315"/>
      <c r="CF390" s="315"/>
      <c r="CG390" s="315"/>
      <c r="CH390" s="315"/>
      <c r="CI390" s="315"/>
      <c r="CJ390" s="315"/>
      <c r="CK390" s="315"/>
      <c r="CL390" s="315"/>
      <c r="CM390" s="315"/>
      <c r="CN390" s="315"/>
      <c r="CO390" s="315"/>
      <c r="CP390" s="315"/>
      <c r="CQ390" s="315"/>
      <c r="CR390" s="315"/>
      <c r="CS390" s="315"/>
      <c r="CT390" s="315"/>
    </row>
    <row r="391" spans="2:98" x14ac:dyDescent="0.3">
      <c r="B391" s="330"/>
      <c r="C391" s="330"/>
      <c r="D391" s="330"/>
      <c r="E391" s="330"/>
      <c r="F391" s="330"/>
      <c r="G391" s="354"/>
      <c r="H391" s="355"/>
      <c r="K391" s="354"/>
      <c r="L391" s="354"/>
      <c r="M391" s="354"/>
      <c r="N391" s="354"/>
      <c r="R391" s="315"/>
      <c r="S391" s="315"/>
      <c r="T391" s="315"/>
      <c r="U391" s="315"/>
      <c r="V391" s="315"/>
      <c r="W391" s="315"/>
      <c r="X391" s="315"/>
      <c r="Y391" s="315"/>
      <c r="Z391" s="315"/>
      <c r="AA391" s="315"/>
      <c r="AB391" s="315"/>
      <c r="AC391" s="315"/>
      <c r="AD391" s="315"/>
      <c r="AE391" s="315"/>
      <c r="AF391" s="315"/>
      <c r="AG391" s="315"/>
      <c r="AH391" s="315"/>
      <c r="AI391" s="315"/>
      <c r="AJ391" s="315"/>
      <c r="AK391" s="315"/>
      <c r="AL391" s="315"/>
      <c r="AM391" s="315"/>
      <c r="AN391" s="315"/>
      <c r="AO391" s="315"/>
      <c r="AP391" s="315"/>
      <c r="AQ391" s="315"/>
      <c r="AR391" s="315"/>
      <c r="AS391" s="315"/>
      <c r="AT391" s="315"/>
      <c r="AU391" s="315"/>
      <c r="AV391" s="315"/>
      <c r="AW391" s="315"/>
      <c r="AX391" s="315"/>
      <c r="AY391" s="315"/>
      <c r="AZ391" s="315"/>
      <c r="BA391" s="315"/>
      <c r="BB391" s="315"/>
      <c r="BC391" s="315"/>
      <c r="BD391" s="315"/>
      <c r="BE391" s="315"/>
      <c r="BF391" s="315"/>
      <c r="BG391" s="315"/>
      <c r="BH391" s="315"/>
      <c r="BI391" s="315"/>
      <c r="BJ391" s="315"/>
      <c r="BK391" s="315"/>
      <c r="BL391" s="315"/>
      <c r="BM391" s="315"/>
      <c r="BN391" s="315"/>
      <c r="BO391" s="315"/>
      <c r="BP391" s="315"/>
      <c r="BQ391" s="315"/>
      <c r="BR391" s="315"/>
      <c r="BS391" s="315"/>
      <c r="BT391" s="315"/>
      <c r="BU391" s="315"/>
      <c r="BV391" s="315"/>
      <c r="BW391" s="315"/>
      <c r="BX391" s="315"/>
      <c r="BY391" s="315"/>
      <c r="BZ391" s="315"/>
      <c r="CA391" s="315"/>
      <c r="CB391" s="315"/>
      <c r="CC391" s="315"/>
      <c r="CD391" s="315"/>
      <c r="CE391" s="315"/>
      <c r="CF391" s="315"/>
      <c r="CG391" s="315"/>
      <c r="CH391" s="315"/>
      <c r="CI391" s="315"/>
      <c r="CJ391" s="315"/>
      <c r="CK391" s="315"/>
      <c r="CL391" s="315"/>
      <c r="CM391" s="315"/>
      <c r="CN391" s="315"/>
      <c r="CO391" s="315"/>
      <c r="CP391" s="315"/>
      <c r="CQ391" s="315"/>
      <c r="CR391" s="315"/>
      <c r="CS391" s="315"/>
      <c r="CT391" s="315"/>
    </row>
    <row r="392" spans="2:98" x14ac:dyDescent="0.3">
      <c r="B392" s="330"/>
      <c r="C392" s="330"/>
      <c r="D392" s="330"/>
      <c r="E392" s="330"/>
      <c r="F392" s="330"/>
      <c r="G392" s="354"/>
      <c r="H392" s="355"/>
      <c r="K392" s="354"/>
      <c r="L392" s="354"/>
      <c r="M392" s="354"/>
      <c r="N392" s="354"/>
      <c r="R392" s="315"/>
      <c r="S392" s="315"/>
      <c r="T392" s="315"/>
      <c r="U392" s="315"/>
      <c r="V392" s="315"/>
      <c r="W392" s="315"/>
      <c r="X392" s="315"/>
      <c r="Y392" s="315"/>
      <c r="Z392" s="315"/>
      <c r="AA392" s="315"/>
      <c r="AB392" s="315"/>
      <c r="AC392" s="315"/>
      <c r="AD392" s="315"/>
      <c r="AE392" s="315"/>
      <c r="AF392" s="315"/>
      <c r="AG392" s="315"/>
      <c r="AH392" s="315"/>
      <c r="AI392" s="315"/>
      <c r="AJ392" s="315"/>
      <c r="AK392" s="315"/>
      <c r="AL392" s="315"/>
      <c r="AM392" s="315"/>
      <c r="AN392" s="315"/>
      <c r="AO392" s="315"/>
      <c r="AP392" s="315"/>
      <c r="AQ392" s="315"/>
      <c r="AR392" s="315"/>
      <c r="AS392" s="315"/>
      <c r="AT392" s="315"/>
      <c r="AU392" s="315"/>
      <c r="AV392" s="315"/>
      <c r="AW392" s="315"/>
      <c r="AX392" s="315"/>
      <c r="AY392" s="315"/>
      <c r="AZ392" s="315"/>
      <c r="BA392" s="315"/>
      <c r="BB392" s="315"/>
      <c r="BC392" s="315"/>
      <c r="BD392" s="315"/>
      <c r="BE392" s="315"/>
      <c r="BF392" s="315"/>
      <c r="BG392" s="315"/>
      <c r="BH392" s="315"/>
      <c r="BI392" s="315"/>
      <c r="BJ392" s="315"/>
      <c r="BK392" s="315"/>
      <c r="BL392" s="315"/>
      <c r="BM392" s="315"/>
      <c r="BN392" s="315"/>
      <c r="BO392" s="315"/>
      <c r="BP392" s="315"/>
      <c r="BQ392" s="315"/>
      <c r="BR392" s="315"/>
      <c r="BS392" s="315"/>
      <c r="BT392" s="315"/>
      <c r="BU392" s="315"/>
      <c r="BV392" s="315"/>
      <c r="BW392" s="315"/>
      <c r="BX392" s="315"/>
      <c r="BY392" s="315"/>
      <c r="BZ392" s="315"/>
      <c r="CA392" s="315"/>
      <c r="CB392" s="315"/>
      <c r="CC392" s="315"/>
      <c r="CD392" s="315"/>
      <c r="CE392" s="315"/>
      <c r="CF392" s="315"/>
      <c r="CG392" s="315"/>
      <c r="CH392" s="315"/>
      <c r="CI392" s="315"/>
      <c r="CJ392" s="315"/>
      <c r="CK392" s="315"/>
      <c r="CL392" s="315"/>
      <c r="CM392" s="315"/>
      <c r="CN392" s="315"/>
      <c r="CO392" s="315"/>
      <c r="CP392" s="315"/>
      <c r="CQ392" s="315"/>
      <c r="CR392" s="315"/>
      <c r="CS392" s="315"/>
      <c r="CT392" s="315"/>
    </row>
    <row r="393" spans="2:98" x14ac:dyDescent="0.3">
      <c r="B393" s="330"/>
      <c r="C393" s="330"/>
      <c r="D393" s="330"/>
      <c r="E393" s="330"/>
      <c r="F393" s="330"/>
      <c r="G393" s="354"/>
      <c r="H393" s="355"/>
      <c r="K393" s="354"/>
      <c r="L393" s="354"/>
      <c r="M393" s="354"/>
      <c r="N393" s="354"/>
      <c r="R393" s="315"/>
      <c r="S393" s="315"/>
      <c r="T393" s="315"/>
      <c r="U393" s="315"/>
      <c r="V393" s="315"/>
      <c r="W393" s="315"/>
      <c r="X393" s="315"/>
      <c r="Y393" s="315"/>
      <c r="Z393" s="315"/>
      <c r="AA393" s="315"/>
      <c r="AB393" s="315"/>
      <c r="AC393" s="315"/>
      <c r="AD393" s="315"/>
      <c r="AE393" s="315"/>
      <c r="AF393" s="315"/>
      <c r="AG393" s="315"/>
      <c r="AH393" s="315"/>
      <c r="AI393" s="315"/>
      <c r="AJ393" s="315"/>
      <c r="AK393" s="315"/>
      <c r="AL393" s="315"/>
      <c r="AM393" s="315"/>
      <c r="AN393" s="315"/>
      <c r="AO393" s="315"/>
      <c r="AP393" s="315"/>
      <c r="AQ393" s="315"/>
      <c r="AR393" s="315"/>
      <c r="AS393" s="315"/>
      <c r="AT393" s="315"/>
      <c r="AU393" s="315"/>
      <c r="AV393" s="315"/>
      <c r="AW393" s="315"/>
      <c r="AX393" s="315"/>
      <c r="AY393" s="315"/>
      <c r="AZ393" s="315"/>
      <c r="BA393" s="315"/>
      <c r="BB393" s="315"/>
      <c r="BC393" s="315"/>
      <c r="BD393" s="315"/>
      <c r="BE393" s="315"/>
      <c r="BF393" s="315"/>
      <c r="BG393" s="315"/>
      <c r="BH393" s="315"/>
      <c r="BI393" s="315"/>
      <c r="BJ393" s="315"/>
      <c r="BK393" s="315"/>
      <c r="BL393" s="315"/>
      <c r="BM393" s="315"/>
      <c r="BN393" s="315"/>
      <c r="BO393" s="315"/>
      <c r="BP393" s="315"/>
      <c r="BQ393" s="315"/>
      <c r="BR393" s="315"/>
      <c r="BS393" s="315"/>
      <c r="BT393" s="315"/>
      <c r="BU393" s="315"/>
      <c r="BV393" s="315"/>
      <c r="BW393" s="315"/>
      <c r="BX393" s="315"/>
      <c r="BY393" s="315"/>
      <c r="BZ393" s="315"/>
      <c r="CA393" s="315"/>
      <c r="CB393" s="315"/>
      <c r="CC393" s="315"/>
      <c r="CD393" s="315"/>
      <c r="CE393" s="315"/>
      <c r="CF393" s="315"/>
      <c r="CG393" s="315"/>
      <c r="CH393" s="315"/>
      <c r="CI393" s="315"/>
      <c r="CJ393" s="315"/>
      <c r="CK393" s="315"/>
      <c r="CL393" s="315"/>
      <c r="CM393" s="315"/>
      <c r="CN393" s="315"/>
      <c r="CO393" s="315"/>
      <c r="CP393" s="315"/>
      <c r="CQ393" s="315"/>
      <c r="CR393" s="315"/>
      <c r="CS393" s="315"/>
      <c r="CT393" s="315"/>
    </row>
    <row r="394" spans="2:98" x14ac:dyDescent="0.3">
      <c r="B394" s="330"/>
      <c r="C394" s="330"/>
      <c r="D394" s="330"/>
      <c r="E394" s="330"/>
      <c r="F394" s="330"/>
      <c r="G394" s="354"/>
      <c r="H394" s="355"/>
      <c r="K394" s="354"/>
      <c r="L394" s="354"/>
      <c r="M394" s="354"/>
      <c r="N394" s="354"/>
      <c r="R394" s="315"/>
      <c r="S394" s="315"/>
      <c r="T394" s="315"/>
      <c r="U394" s="315"/>
      <c r="V394" s="315"/>
      <c r="W394" s="315"/>
      <c r="X394" s="315"/>
      <c r="Y394" s="315"/>
      <c r="Z394" s="315"/>
      <c r="AA394" s="315"/>
      <c r="AB394" s="315"/>
      <c r="AC394" s="315"/>
      <c r="AD394" s="315"/>
      <c r="AE394" s="315"/>
      <c r="AF394" s="315"/>
      <c r="AG394" s="315"/>
      <c r="AH394" s="315"/>
      <c r="AI394" s="315"/>
      <c r="AJ394" s="315"/>
      <c r="AK394" s="315"/>
      <c r="AL394" s="315"/>
      <c r="AM394" s="315"/>
      <c r="AN394" s="315"/>
      <c r="AO394" s="315"/>
      <c r="AP394" s="315"/>
      <c r="AQ394" s="315"/>
      <c r="AR394" s="315"/>
      <c r="AS394" s="315"/>
      <c r="AT394" s="315"/>
      <c r="AU394" s="315"/>
      <c r="AV394" s="315"/>
      <c r="AW394" s="315"/>
      <c r="AX394" s="315"/>
      <c r="AY394" s="315"/>
      <c r="AZ394" s="315"/>
      <c r="BA394" s="315"/>
      <c r="BB394" s="315"/>
      <c r="BC394" s="315"/>
      <c r="BD394" s="315"/>
      <c r="BE394" s="315"/>
      <c r="BF394" s="315"/>
      <c r="BG394" s="315"/>
      <c r="BH394" s="315"/>
      <c r="BI394" s="315"/>
      <c r="BJ394" s="315"/>
      <c r="BK394" s="315"/>
      <c r="BL394" s="315"/>
      <c r="BM394" s="315"/>
      <c r="BN394" s="315"/>
      <c r="BO394" s="315"/>
      <c r="BP394" s="315"/>
      <c r="BQ394" s="315"/>
      <c r="BR394" s="315"/>
      <c r="BS394" s="315"/>
      <c r="BT394" s="315"/>
      <c r="BU394" s="315"/>
      <c r="BV394" s="315"/>
      <c r="BW394" s="315"/>
      <c r="BX394" s="315"/>
      <c r="BY394" s="315"/>
      <c r="BZ394" s="315"/>
      <c r="CA394" s="315"/>
      <c r="CB394" s="315"/>
      <c r="CC394" s="315"/>
      <c r="CD394" s="315"/>
      <c r="CE394" s="315"/>
      <c r="CF394" s="315"/>
      <c r="CG394" s="315"/>
      <c r="CH394" s="315"/>
      <c r="CI394" s="315"/>
      <c r="CJ394" s="315"/>
      <c r="CK394" s="315"/>
      <c r="CL394" s="315"/>
      <c r="CM394" s="315"/>
      <c r="CN394" s="315"/>
      <c r="CO394" s="315"/>
      <c r="CP394" s="315"/>
      <c r="CQ394" s="315"/>
      <c r="CR394" s="315"/>
      <c r="CS394" s="315"/>
      <c r="CT394" s="315"/>
    </row>
    <row r="395" spans="2:98" x14ac:dyDescent="0.3">
      <c r="B395" s="330"/>
      <c r="C395" s="330"/>
      <c r="D395" s="330"/>
      <c r="E395" s="330"/>
      <c r="F395" s="330"/>
      <c r="G395" s="354"/>
      <c r="H395" s="355"/>
      <c r="K395" s="354"/>
      <c r="L395" s="354"/>
      <c r="M395" s="354"/>
      <c r="N395" s="354"/>
      <c r="R395" s="315"/>
      <c r="S395" s="315"/>
      <c r="T395" s="315"/>
      <c r="U395" s="315"/>
      <c r="V395" s="315"/>
      <c r="W395" s="315"/>
      <c r="X395" s="315"/>
      <c r="Y395" s="315"/>
      <c r="Z395" s="315"/>
      <c r="AA395" s="315"/>
      <c r="AB395" s="315"/>
      <c r="AC395" s="315"/>
      <c r="AD395" s="315"/>
      <c r="AE395" s="315"/>
      <c r="AF395" s="315"/>
      <c r="AG395" s="315"/>
      <c r="AH395" s="315"/>
      <c r="AI395" s="315"/>
      <c r="AJ395" s="315"/>
      <c r="AK395" s="315"/>
      <c r="AL395" s="315"/>
      <c r="AM395" s="315"/>
      <c r="AN395" s="315"/>
      <c r="AO395" s="315"/>
      <c r="AP395" s="315"/>
      <c r="AQ395" s="315"/>
      <c r="AR395" s="315"/>
      <c r="AS395" s="315"/>
      <c r="AT395" s="315"/>
      <c r="AU395" s="315"/>
      <c r="AV395" s="315"/>
      <c r="AW395" s="315"/>
      <c r="AX395" s="315"/>
      <c r="AY395" s="315"/>
      <c r="AZ395" s="315"/>
      <c r="BA395" s="315"/>
      <c r="BB395" s="315"/>
      <c r="BC395" s="315"/>
      <c r="BD395" s="315"/>
      <c r="BE395" s="315"/>
      <c r="BF395" s="315"/>
      <c r="BG395" s="315"/>
      <c r="BH395" s="315"/>
      <c r="BI395" s="315"/>
      <c r="BJ395" s="315"/>
      <c r="BK395" s="315"/>
      <c r="BL395" s="315"/>
      <c r="BM395" s="315"/>
      <c r="BN395" s="315"/>
      <c r="BO395" s="315"/>
      <c r="BP395" s="315"/>
      <c r="BQ395" s="315"/>
      <c r="BR395" s="315"/>
      <c r="BS395" s="315"/>
      <c r="BT395" s="315"/>
      <c r="BU395" s="315"/>
      <c r="BV395" s="315"/>
      <c r="BW395" s="315"/>
      <c r="BX395" s="315"/>
      <c r="BY395" s="315"/>
      <c r="BZ395" s="315"/>
      <c r="CA395" s="315"/>
      <c r="CB395" s="315"/>
      <c r="CC395" s="315"/>
      <c r="CD395" s="315"/>
      <c r="CE395" s="315"/>
      <c r="CF395" s="315"/>
      <c r="CG395" s="315"/>
      <c r="CH395" s="315"/>
      <c r="CI395" s="315"/>
      <c r="CJ395" s="315"/>
      <c r="CK395" s="315"/>
      <c r="CL395" s="315"/>
      <c r="CM395" s="315"/>
      <c r="CN395" s="315"/>
      <c r="CO395" s="315"/>
      <c r="CP395" s="315"/>
      <c r="CQ395" s="315"/>
      <c r="CR395" s="315"/>
      <c r="CS395" s="315"/>
      <c r="CT395" s="315"/>
    </row>
    <row r="396" spans="2:98" x14ac:dyDescent="0.3">
      <c r="B396" s="330"/>
      <c r="C396" s="330"/>
      <c r="D396" s="330"/>
      <c r="E396" s="330"/>
      <c r="F396" s="330"/>
      <c r="G396" s="354"/>
      <c r="H396" s="355"/>
      <c r="K396" s="354"/>
      <c r="L396" s="354"/>
      <c r="M396" s="354"/>
      <c r="N396" s="354"/>
      <c r="R396" s="315"/>
      <c r="S396" s="315"/>
      <c r="T396" s="315"/>
      <c r="U396" s="315"/>
      <c r="V396" s="315"/>
      <c r="W396" s="315"/>
      <c r="X396" s="315"/>
      <c r="Y396" s="315"/>
      <c r="Z396" s="315"/>
      <c r="AA396" s="315"/>
      <c r="AB396" s="315"/>
      <c r="AC396" s="315"/>
      <c r="AD396" s="315"/>
      <c r="AE396" s="315"/>
      <c r="AF396" s="315"/>
      <c r="AG396" s="315"/>
      <c r="AH396" s="315"/>
      <c r="AI396" s="315"/>
      <c r="AJ396" s="315"/>
      <c r="AK396" s="315"/>
      <c r="AL396" s="315"/>
      <c r="AM396" s="315"/>
      <c r="AN396" s="315"/>
      <c r="AO396" s="315"/>
      <c r="AP396" s="315"/>
      <c r="AQ396" s="315"/>
      <c r="AR396" s="315"/>
      <c r="AS396" s="315"/>
      <c r="AT396" s="315"/>
      <c r="AU396" s="315"/>
      <c r="AV396" s="315"/>
      <c r="AW396" s="315"/>
      <c r="AX396" s="315"/>
      <c r="AY396" s="315"/>
      <c r="AZ396" s="315"/>
      <c r="BA396" s="315"/>
      <c r="BB396" s="315"/>
      <c r="BC396" s="315"/>
      <c r="BD396" s="315"/>
      <c r="BE396" s="315"/>
      <c r="BF396" s="315"/>
      <c r="BG396" s="315"/>
      <c r="BH396" s="315"/>
      <c r="BI396" s="315"/>
      <c r="BJ396" s="315"/>
      <c r="BK396" s="315"/>
      <c r="BL396" s="315"/>
      <c r="BM396" s="315"/>
      <c r="BN396" s="315"/>
      <c r="BO396" s="315"/>
      <c r="BP396" s="315"/>
      <c r="BQ396" s="315"/>
      <c r="BR396" s="315"/>
      <c r="BS396" s="315"/>
      <c r="BT396" s="315"/>
      <c r="BU396" s="315"/>
      <c r="BV396" s="315"/>
      <c r="BW396" s="315"/>
      <c r="BX396" s="315"/>
      <c r="BY396" s="315"/>
      <c r="BZ396" s="315"/>
      <c r="CA396" s="315"/>
      <c r="CB396" s="315"/>
      <c r="CC396" s="315"/>
      <c r="CD396" s="315"/>
      <c r="CE396" s="315"/>
      <c r="CF396" s="315"/>
      <c r="CG396" s="315"/>
      <c r="CH396" s="315"/>
      <c r="CI396" s="315"/>
      <c r="CJ396" s="315"/>
      <c r="CK396" s="315"/>
      <c r="CL396" s="315"/>
      <c r="CM396" s="315"/>
      <c r="CN396" s="315"/>
      <c r="CO396" s="315"/>
      <c r="CP396" s="315"/>
      <c r="CQ396" s="315"/>
      <c r="CR396" s="315"/>
      <c r="CS396" s="315"/>
      <c r="CT396" s="315"/>
    </row>
    <row r="397" spans="2:98" x14ac:dyDescent="0.3">
      <c r="B397" s="330"/>
      <c r="C397" s="330"/>
      <c r="D397" s="330"/>
      <c r="E397" s="330"/>
      <c r="F397" s="330"/>
      <c r="G397" s="354"/>
      <c r="H397" s="355"/>
      <c r="K397" s="354"/>
      <c r="L397" s="354"/>
      <c r="M397" s="354"/>
      <c r="N397" s="354"/>
      <c r="R397" s="315"/>
      <c r="S397" s="315"/>
      <c r="T397" s="315"/>
      <c r="U397" s="315"/>
      <c r="V397" s="315"/>
      <c r="W397" s="315"/>
      <c r="X397" s="315"/>
      <c r="Y397" s="315"/>
      <c r="Z397" s="315"/>
      <c r="AA397" s="315"/>
      <c r="AB397" s="315"/>
      <c r="AC397" s="315"/>
      <c r="AD397" s="315"/>
      <c r="AE397" s="315"/>
      <c r="AF397" s="315"/>
      <c r="AG397" s="315"/>
      <c r="AH397" s="315"/>
      <c r="AI397" s="315"/>
      <c r="AJ397" s="315"/>
      <c r="AK397" s="315"/>
      <c r="AL397" s="315"/>
      <c r="AM397" s="315"/>
      <c r="AN397" s="315"/>
      <c r="AO397" s="315"/>
      <c r="AP397" s="315"/>
      <c r="AQ397" s="315"/>
      <c r="AR397" s="315"/>
      <c r="AS397" s="315"/>
      <c r="AT397" s="315"/>
      <c r="AU397" s="315"/>
      <c r="AV397" s="315"/>
      <c r="AW397" s="315"/>
      <c r="AX397" s="315"/>
      <c r="AY397" s="315"/>
      <c r="AZ397" s="315"/>
      <c r="BA397" s="315"/>
      <c r="BB397" s="315"/>
      <c r="BC397" s="315"/>
      <c r="BD397" s="315"/>
      <c r="BE397" s="315"/>
      <c r="BF397" s="315"/>
      <c r="BG397" s="315"/>
      <c r="BH397" s="315"/>
      <c r="BI397" s="315"/>
      <c r="BJ397" s="315"/>
      <c r="BK397" s="315"/>
      <c r="BL397" s="315"/>
      <c r="BM397" s="315"/>
      <c r="BN397" s="315"/>
      <c r="BO397" s="315"/>
      <c r="BP397" s="315"/>
      <c r="BQ397" s="315"/>
      <c r="BR397" s="315"/>
      <c r="BS397" s="315"/>
      <c r="BT397" s="315"/>
      <c r="BU397" s="315"/>
      <c r="BV397" s="315"/>
      <c r="BW397" s="315"/>
      <c r="BX397" s="315"/>
      <c r="BY397" s="315"/>
      <c r="BZ397" s="315"/>
      <c r="CA397" s="315"/>
      <c r="CB397" s="315"/>
      <c r="CC397" s="315"/>
      <c r="CD397" s="315"/>
      <c r="CE397" s="315"/>
      <c r="CF397" s="315"/>
      <c r="CG397" s="315"/>
      <c r="CH397" s="315"/>
      <c r="CI397" s="315"/>
      <c r="CJ397" s="315"/>
      <c r="CK397" s="315"/>
      <c r="CL397" s="315"/>
      <c r="CM397" s="315"/>
      <c r="CN397" s="315"/>
      <c r="CO397" s="315"/>
      <c r="CP397" s="315"/>
      <c r="CQ397" s="315"/>
      <c r="CR397" s="315"/>
      <c r="CS397" s="315"/>
      <c r="CT397" s="315"/>
    </row>
    <row r="398" spans="2:98" x14ac:dyDescent="0.3">
      <c r="B398" s="330"/>
      <c r="C398" s="330"/>
      <c r="D398" s="330"/>
      <c r="E398" s="330"/>
      <c r="F398" s="330"/>
      <c r="G398" s="354"/>
      <c r="H398" s="355"/>
      <c r="K398" s="354"/>
      <c r="L398" s="354"/>
      <c r="M398" s="354"/>
      <c r="N398" s="354"/>
      <c r="R398" s="315"/>
      <c r="S398" s="315"/>
      <c r="T398" s="315"/>
      <c r="U398" s="315"/>
      <c r="V398" s="315"/>
      <c r="W398" s="315"/>
      <c r="X398" s="315"/>
      <c r="Y398" s="315"/>
      <c r="Z398" s="315"/>
      <c r="AA398" s="315"/>
      <c r="AB398" s="315"/>
      <c r="AC398" s="315"/>
      <c r="AD398" s="315"/>
      <c r="AE398" s="315"/>
      <c r="AF398" s="315"/>
      <c r="AG398" s="315"/>
      <c r="AH398" s="315"/>
      <c r="AI398" s="315"/>
      <c r="AJ398" s="315"/>
      <c r="AK398" s="315"/>
      <c r="AL398" s="315"/>
      <c r="AM398" s="315"/>
      <c r="AN398" s="315"/>
      <c r="AO398" s="315"/>
      <c r="AP398" s="315"/>
      <c r="AQ398" s="315"/>
      <c r="AR398" s="315"/>
      <c r="AS398" s="315"/>
      <c r="AT398" s="315"/>
      <c r="AU398" s="315"/>
      <c r="AV398" s="315"/>
      <c r="AW398" s="315"/>
      <c r="AX398" s="315"/>
      <c r="AY398" s="315"/>
      <c r="AZ398" s="315"/>
      <c r="BA398" s="315"/>
      <c r="BB398" s="315"/>
      <c r="BC398" s="315"/>
      <c r="BD398" s="315"/>
      <c r="BE398" s="315"/>
      <c r="BF398" s="315"/>
      <c r="BG398" s="315"/>
      <c r="BH398" s="315"/>
      <c r="BI398" s="315"/>
      <c r="BJ398" s="315"/>
      <c r="BK398" s="315"/>
      <c r="BL398" s="315"/>
      <c r="BM398" s="315"/>
      <c r="BN398" s="315"/>
      <c r="BO398" s="315"/>
      <c r="BP398" s="315"/>
      <c r="BQ398" s="315"/>
      <c r="BR398" s="315"/>
      <c r="BS398" s="315"/>
      <c r="BT398" s="315"/>
      <c r="BU398" s="315"/>
      <c r="BV398" s="315"/>
      <c r="BW398" s="315"/>
      <c r="BX398" s="315"/>
      <c r="BY398" s="315"/>
      <c r="BZ398" s="315"/>
      <c r="CA398" s="315"/>
      <c r="CB398" s="315"/>
      <c r="CC398" s="315"/>
      <c r="CD398" s="315"/>
      <c r="CE398" s="315"/>
      <c r="CF398" s="315"/>
      <c r="CG398" s="315"/>
      <c r="CH398" s="315"/>
      <c r="CI398" s="315"/>
      <c r="CJ398" s="315"/>
      <c r="CK398" s="315"/>
      <c r="CL398" s="315"/>
      <c r="CM398" s="315"/>
      <c r="CN398" s="315"/>
      <c r="CO398" s="315"/>
      <c r="CP398" s="315"/>
      <c r="CQ398" s="315"/>
      <c r="CR398" s="315"/>
      <c r="CS398" s="315"/>
      <c r="CT398" s="315"/>
    </row>
    <row r="399" spans="2:98" x14ac:dyDescent="0.3">
      <c r="B399" s="330"/>
      <c r="C399" s="330"/>
      <c r="D399" s="330"/>
      <c r="E399" s="330"/>
      <c r="F399" s="330"/>
      <c r="G399" s="354"/>
      <c r="H399" s="355"/>
      <c r="K399" s="354"/>
      <c r="L399" s="354"/>
      <c r="M399" s="354"/>
      <c r="N399" s="354"/>
      <c r="R399" s="315"/>
      <c r="S399" s="315"/>
      <c r="T399" s="315"/>
      <c r="U399" s="315"/>
      <c r="V399" s="315"/>
      <c r="W399" s="315"/>
      <c r="X399" s="315"/>
      <c r="Y399" s="315"/>
      <c r="Z399" s="315"/>
      <c r="AA399" s="315"/>
      <c r="AB399" s="315"/>
      <c r="AC399" s="315"/>
      <c r="AD399" s="315"/>
      <c r="AE399" s="315"/>
      <c r="AF399" s="315"/>
      <c r="AG399" s="315"/>
      <c r="AH399" s="315"/>
      <c r="AI399" s="315"/>
      <c r="AJ399" s="315"/>
      <c r="AK399" s="315"/>
      <c r="AL399" s="315"/>
      <c r="AM399" s="315"/>
      <c r="AN399" s="315"/>
      <c r="AO399" s="315"/>
      <c r="AP399" s="315"/>
      <c r="AQ399" s="315"/>
      <c r="AR399" s="315"/>
      <c r="AS399" s="315"/>
      <c r="AT399" s="315"/>
      <c r="AU399" s="315"/>
      <c r="AV399" s="315"/>
      <c r="AW399" s="315"/>
      <c r="AX399" s="315"/>
      <c r="AY399" s="315"/>
      <c r="AZ399" s="315"/>
      <c r="BA399" s="315"/>
      <c r="BB399" s="315"/>
      <c r="BC399" s="315"/>
      <c r="BD399" s="315"/>
      <c r="BE399" s="315"/>
      <c r="BF399" s="315"/>
      <c r="BG399" s="315"/>
      <c r="BH399" s="315"/>
      <c r="BI399" s="315"/>
      <c r="BJ399" s="315"/>
      <c r="BK399" s="315"/>
      <c r="BL399" s="315"/>
      <c r="BM399" s="315"/>
      <c r="BN399" s="315"/>
      <c r="BO399" s="315"/>
      <c r="BP399" s="315"/>
      <c r="BQ399" s="315"/>
      <c r="BR399" s="315"/>
      <c r="BS399" s="315"/>
      <c r="BT399" s="315"/>
      <c r="BU399" s="315"/>
      <c r="BV399" s="315"/>
      <c r="BW399" s="315"/>
      <c r="BX399" s="315"/>
      <c r="BY399" s="315"/>
      <c r="BZ399" s="315"/>
      <c r="CA399" s="315"/>
      <c r="CB399" s="315"/>
      <c r="CC399" s="315"/>
      <c r="CD399" s="315"/>
      <c r="CE399" s="315"/>
      <c r="CF399" s="315"/>
      <c r="CG399" s="315"/>
      <c r="CH399" s="315"/>
      <c r="CI399" s="315"/>
      <c r="CJ399" s="315"/>
      <c r="CK399" s="315"/>
      <c r="CL399" s="315"/>
      <c r="CM399" s="315"/>
      <c r="CN399" s="315"/>
      <c r="CO399" s="315"/>
      <c r="CP399" s="315"/>
      <c r="CQ399" s="315"/>
      <c r="CR399" s="315"/>
      <c r="CS399" s="315"/>
      <c r="CT399" s="315"/>
    </row>
    <row r="400" spans="2:98" x14ac:dyDescent="0.3">
      <c r="B400" s="330"/>
      <c r="C400" s="330"/>
      <c r="D400" s="330"/>
      <c r="E400" s="330"/>
      <c r="F400" s="330"/>
      <c r="G400" s="354"/>
      <c r="H400" s="355"/>
      <c r="K400" s="354"/>
      <c r="L400" s="354"/>
      <c r="M400" s="354"/>
      <c r="N400" s="354"/>
      <c r="R400" s="315"/>
      <c r="S400" s="315"/>
      <c r="T400" s="315"/>
      <c r="U400" s="315"/>
      <c r="V400" s="315"/>
      <c r="W400" s="315"/>
      <c r="X400" s="315"/>
      <c r="Y400" s="315"/>
      <c r="Z400" s="315"/>
      <c r="AA400" s="315"/>
      <c r="AB400" s="315"/>
      <c r="AC400" s="315"/>
      <c r="AD400" s="315"/>
      <c r="AE400" s="315"/>
      <c r="AF400" s="315"/>
      <c r="AG400" s="315"/>
      <c r="AH400" s="315"/>
      <c r="AI400" s="315"/>
      <c r="AJ400" s="315"/>
      <c r="AK400" s="315"/>
      <c r="AL400" s="315"/>
      <c r="AM400" s="315"/>
      <c r="AN400" s="315"/>
      <c r="AO400" s="315"/>
      <c r="AP400" s="315"/>
      <c r="AQ400" s="315"/>
      <c r="AR400" s="315"/>
      <c r="AS400" s="315"/>
      <c r="AT400" s="315"/>
      <c r="AU400" s="315"/>
      <c r="AV400" s="315"/>
      <c r="AW400" s="315"/>
      <c r="AX400" s="315"/>
      <c r="AY400" s="315"/>
      <c r="AZ400" s="315"/>
      <c r="BA400" s="315"/>
      <c r="BB400" s="315"/>
      <c r="BC400" s="315"/>
      <c r="BD400" s="315"/>
      <c r="BE400" s="315"/>
      <c r="BF400" s="315"/>
      <c r="BG400" s="315"/>
      <c r="BH400" s="315"/>
      <c r="BI400" s="315"/>
      <c r="BJ400" s="315"/>
      <c r="BK400" s="315"/>
      <c r="BL400" s="315"/>
      <c r="BM400" s="315"/>
      <c r="BN400" s="315"/>
      <c r="BO400" s="315"/>
      <c r="BP400" s="315"/>
      <c r="BQ400" s="315"/>
      <c r="BR400" s="315"/>
      <c r="BS400" s="315"/>
      <c r="BT400" s="315"/>
      <c r="BU400" s="315"/>
      <c r="BV400" s="315"/>
      <c r="BW400" s="315"/>
      <c r="BX400" s="315"/>
      <c r="BY400" s="315"/>
      <c r="BZ400" s="315"/>
      <c r="CA400" s="315"/>
      <c r="CB400" s="315"/>
      <c r="CC400" s="315"/>
      <c r="CD400" s="315"/>
      <c r="CE400" s="315"/>
      <c r="CF400" s="315"/>
      <c r="CG400" s="315"/>
      <c r="CH400" s="315"/>
      <c r="CI400" s="315"/>
      <c r="CJ400" s="315"/>
      <c r="CK400" s="315"/>
      <c r="CL400" s="315"/>
      <c r="CM400" s="315"/>
      <c r="CN400" s="315"/>
      <c r="CO400" s="315"/>
      <c r="CP400" s="315"/>
      <c r="CQ400" s="315"/>
      <c r="CR400" s="315"/>
      <c r="CS400" s="315"/>
      <c r="CT400" s="315"/>
    </row>
    <row r="401" spans="2:98" x14ac:dyDescent="0.3">
      <c r="B401" s="330"/>
      <c r="C401" s="330"/>
      <c r="D401" s="330"/>
      <c r="E401" s="330"/>
      <c r="F401" s="330"/>
      <c r="G401" s="354"/>
      <c r="H401" s="355"/>
      <c r="K401" s="354"/>
      <c r="L401" s="354"/>
      <c r="M401" s="354"/>
      <c r="N401" s="354"/>
      <c r="R401" s="315"/>
      <c r="S401" s="315"/>
      <c r="T401" s="315"/>
      <c r="U401" s="315"/>
      <c r="V401" s="315"/>
      <c r="W401" s="315"/>
      <c r="X401" s="315"/>
      <c r="Y401" s="315"/>
      <c r="Z401" s="315"/>
      <c r="AA401" s="315"/>
      <c r="AB401" s="315"/>
      <c r="AC401" s="315"/>
      <c r="AD401" s="315"/>
      <c r="AE401" s="315"/>
      <c r="AF401" s="315"/>
      <c r="AG401" s="315"/>
      <c r="AH401" s="315"/>
      <c r="AI401" s="315"/>
      <c r="AJ401" s="315"/>
      <c r="AK401" s="315"/>
      <c r="AL401" s="315"/>
      <c r="AM401" s="315"/>
      <c r="AN401" s="315"/>
      <c r="AO401" s="315"/>
      <c r="AP401" s="315"/>
      <c r="AQ401" s="315"/>
      <c r="AR401" s="315"/>
      <c r="AS401" s="315"/>
      <c r="AT401" s="315"/>
      <c r="AU401" s="315"/>
      <c r="AV401" s="315"/>
      <c r="AW401" s="315"/>
      <c r="AX401" s="315"/>
      <c r="AY401" s="315"/>
      <c r="AZ401" s="315"/>
      <c r="BA401" s="315"/>
      <c r="BB401" s="315"/>
      <c r="BC401" s="315"/>
      <c r="BD401" s="315"/>
      <c r="BE401" s="315"/>
      <c r="BF401" s="315"/>
      <c r="BG401" s="315"/>
      <c r="BH401" s="315"/>
      <c r="BI401" s="315"/>
      <c r="BJ401" s="315"/>
      <c r="BK401" s="315"/>
      <c r="BL401" s="315"/>
      <c r="BM401" s="315"/>
      <c r="BN401" s="315"/>
      <c r="BO401" s="315"/>
      <c r="BP401" s="315"/>
      <c r="BQ401" s="315"/>
      <c r="BR401" s="315"/>
      <c r="BS401" s="315"/>
      <c r="BT401" s="315"/>
      <c r="BU401" s="315"/>
      <c r="BV401" s="315"/>
      <c r="BW401" s="315"/>
      <c r="BX401" s="315"/>
      <c r="BY401" s="315"/>
      <c r="BZ401" s="315"/>
      <c r="CA401" s="315"/>
      <c r="CB401" s="315"/>
      <c r="CC401" s="315"/>
      <c r="CD401" s="315"/>
      <c r="CE401" s="315"/>
      <c r="CF401" s="315"/>
      <c r="CG401" s="315"/>
      <c r="CH401" s="315"/>
      <c r="CI401" s="315"/>
      <c r="CJ401" s="315"/>
      <c r="CK401" s="315"/>
      <c r="CL401" s="315"/>
      <c r="CM401" s="315"/>
      <c r="CN401" s="315"/>
      <c r="CO401" s="315"/>
      <c r="CP401" s="315"/>
      <c r="CQ401" s="315"/>
      <c r="CR401" s="315"/>
      <c r="CS401" s="315"/>
      <c r="CT401" s="315"/>
    </row>
    <row r="402" spans="2:98" x14ac:dyDescent="0.3">
      <c r="B402" s="330"/>
      <c r="C402" s="330"/>
      <c r="D402" s="330"/>
      <c r="E402" s="330"/>
      <c r="F402" s="330"/>
      <c r="G402" s="354"/>
      <c r="H402" s="355"/>
      <c r="K402" s="354"/>
      <c r="L402" s="354"/>
      <c r="M402" s="354"/>
      <c r="N402" s="354"/>
      <c r="R402" s="315"/>
      <c r="S402" s="315"/>
      <c r="T402" s="315"/>
      <c r="U402" s="315"/>
      <c r="V402" s="315"/>
      <c r="W402" s="315"/>
      <c r="X402" s="315"/>
      <c r="Y402" s="315"/>
      <c r="Z402" s="315"/>
      <c r="AA402" s="315"/>
      <c r="AB402" s="315"/>
      <c r="AC402" s="315"/>
      <c r="AD402" s="315"/>
      <c r="AE402" s="315"/>
      <c r="AF402" s="315"/>
      <c r="AG402" s="315"/>
      <c r="AH402" s="315"/>
      <c r="AI402" s="315"/>
      <c r="AJ402" s="315"/>
      <c r="AK402" s="315"/>
      <c r="AL402" s="315"/>
      <c r="AM402" s="315"/>
      <c r="AN402" s="315"/>
      <c r="AO402" s="315"/>
      <c r="AP402" s="315"/>
      <c r="AQ402" s="315"/>
      <c r="AR402" s="315"/>
      <c r="AS402" s="315"/>
      <c r="AT402" s="315"/>
      <c r="AU402" s="315"/>
      <c r="AV402" s="315"/>
      <c r="AW402" s="315"/>
      <c r="AX402" s="315"/>
      <c r="AY402" s="315"/>
      <c r="AZ402" s="315"/>
      <c r="BA402" s="315"/>
      <c r="BB402" s="315"/>
      <c r="BC402" s="315"/>
      <c r="BD402" s="315"/>
      <c r="BE402" s="315"/>
      <c r="BF402" s="315"/>
      <c r="BG402" s="315"/>
      <c r="BH402" s="315"/>
      <c r="BI402" s="315"/>
      <c r="BJ402" s="315"/>
      <c r="BK402" s="315"/>
      <c r="BL402" s="315"/>
      <c r="BM402" s="315"/>
      <c r="BN402" s="315"/>
      <c r="BO402" s="315"/>
      <c r="BP402" s="315"/>
      <c r="BQ402" s="315"/>
      <c r="BR402" s="315"/>
      <c r="BS402" s="315"/>
      <c r="BT402" s="315"/>
      <c r="BU402" s="315"/>
      <c r="BV402" s="315"/>
      <c r="BW402" s="315"/>
      <c r="BX402" s="315"/>
      <c r="BY402" s="315"/>
      <c r="BZ402" s="315"/>
      <c r="CA402" s="315"/>
      <c r="CB402" s="315"/>
      <c r="CC402" s="315"/>
      <c r="CD402" s="315"/>
      <c r="CE402" s="315"/>
      <c r="CF402" s="315"/>
      <c r="CG402" s="315"/>
      <c r="CH402" s="315"/>
      <c r="CI402" s="315"/>
      <c r="CJ402" s="315"/>
      <c r="CK402" s="315"/>
      <c r="CL402" s="315"/>
      <c r="CM402" s="315"/>
      <c r="CN402" s="315"/>
      <c r="CO402" s="315"/>
      <c r="CP402" s="315"/>
      <c r="CQ402" s="315"/>
      <c r="CR402" s="315"/>
      <c r="CS402" s="315"/>
      <c r="CT402" s="315"/>
    </row>
    <row r="403" spans="2:98" x14ac:dyDescent="0.3">
      <c r="B403" s="330"/>
      <c r="C403" s="330"/>
      <c r="D403" s="330"/>
      <c r="E403" s="330"/>
      <c r="F403" s="330"/>
      <c r="G403" s="354"/>
      <c r="H403" s="355"/>
      <c r="K403" s="354"/>
      <c r="L403" s="354"/>
      <c r="M403" s="354"/>
      <c r="N403" s="354"/>
      <c r="R403" s="315"/>
      <c r="S403" s="315"/>
      <c r="T403" s="315"/>
      <c r="U403" s="315"/>
      <c r="V403" s="315"/>
      <c r="W403" s="315"/>
      <c r="X403" s="315"/>
      <c r="Y403" s="315"/>
      <c r="Z403" s="315"/>
      <c r="AA403" s="315"/>
      <c r="AB403" s="315"/>
      <c r="AC403" s="315"/>
      <c r="AD403" s="315"/>
      <c r="AE403" s="315"/>
      <c r="AF403" s="315"/>
      <c r="AG403" s="315"/>
      <c r="AH403" s="315"/>
      <c r="AI403" s="315"/>
      <c r="AJ403" s="315"/>
      <c r="AK403" s="315"/>
      <c r="AL403" s="315"/>
      <c r="AM403" s="315"/>
      <c r="AN403" s="315"/>
      <c r="AO403" s="315"/>
      <c r="AP403" s="315"/>
      <c r="AQ403" s="315"/>
      <c r="AR403" s="315"/>
      <c r="AS403" s="315"/>
      <c r="AT403" s="315"/>
      <c r="AU403" s="315"/>
      <c r="AV403" s="315"/>
      <c r="AW403" s="315"/>
      <c r="AX403" s="315"/>
      <c r="AY403" s="315"/>
      <c r="AZ403" s="315"/>
      <c r="BA403" s="315"/>
      <c r="BB403" s="315"/>
      <c r="BC403" s="315"/>
      <c r="BD403" s="315"/>
      <c r="BE403" s="315"/>
      <c r="BF403" s="315"/>
      <c r="BG403" s="315"/>
      <c r="BH403" s="315"/>
      <c r="BI403" s="315"/>
      <c r="BJ403" s="315"/>
      <c r="BK403" s="315"/>
      <c r="BL403" s="315"/>
      <c r="BM403" s="315"/>
      <c r="BN403" s="315"/>
      <c r="BO403" s="315"/>
      <c r="BP403" s="315"/>
      <c r="BQ403" s="315"/>
      <c r="BR403" s="315"/>
      <c r="BS403" s="315"/>
      <c r="BT403" s="315"/>
      <c r="BU403" s="315"/>
      <c r="BV403" s="315"/>
      <c r="BW403" s="315"/>
      <c r="BX403" s="315"/>
      <c r="BY403" s="315"/>
      <c r="BZ403" s="315"/>
      <c r="CA403" s="315"/>
      <c r="CB403" s="315"/>
      <c r="CC403" s="315"/>
      <c r="CD403" s="315"/>
      <c r="CE403" s="315"/>
      <c r="CF403" s="315"/>
      <c r="CG403" s="315"/>
      <c r="CH403" s="315"/>
      <c r="CI403" s="315"/>
      <c r="CJ403" s="315"/>
      <c r="CK403" s="315"/>
      <c r="CL403" s="315"/>
      <c r="CM403" s="315"/>
      <c r="CN403" s="315"/>
      <c r="CO403" s="315"/>
      <c r="CP403" s="315"/>
      <c r="CQ403" s="315"/>
      <c r="CR403" s="315"/>
      <c r="CS403" s="315"/>
      <c r="CT403" s="315"/>
    </row>
    <row r="404" spans="2:98" x14ac:dyDescent="0.3">
      <c r="B404" s="330"/>
      <c r="C404" s="330"/>
      <c r="D404" s="330"/>
      <c r="E404" s="330"/>
      <c r="F404" s="330"/>
      <c r="G404" s="354"/>
      <c r="H404" s="355"/>
      <c r="K404" s="354"/>
      <c r="L404" s="354"/>
      <c r="M404" s="354"/>
      <c r="N404" s="354"/>
      <c r="R404" s="315"/>
      <c r="S404" s="315"/>
      <c r="T404" s="315"/>
      <c r="U404" s="315"/>
      <c r="V404" s="315"/>
      <c r="W404" s="315"/>
      <c r="X404" s="315"/>
      <c r="Y404" s="315"/>
      <c r="Z404" s="315"/>
      <c r="AA404" s="315"/>
      <c r="AB404" s="315"/>
      <c r="AC404" s="315"/>
      <c r="AD404" s="315"/>
      <c r="AE404" s="315"/>
      <c r="AF404" s="315"/>
      <c r="AG404" s="315"/>
      <c r="AH404" s="315"/>
      <c r="AI404" s="315"/>
      <c r="AJ404" s="315"/>
      <c r="AK404" s="315"/>
      <c r="AL404" s="315"/>
      <c r="AM404" s="315"/>
      <c r="AN404" s="315"/>
      <c r="AO404" s="315"/>
      <c r="AP404" s="315"/>
      <c r="AQ404" s="315"/>
      <c r="AR404" s="315"/>
      <c r="AS404" s="315"/>
      <c r="AT404" s="315"/>
      <c r="AU404" s="315"/>
      <c r="AV404" s="315"/>
      <c r="AW404" s="315"/>
      <c r="AX404" s="315"/>
      <c r="AY404" s="315"/>
      <c r="AZ404" s="315"/>
      <c r="BA404" s="315"/>
      <c r="BB404" s="315"/>
      <c r="BC404" s="315"/>
      <c r="BD404" s="315"/>
      <c r="BE404" s="315"/>
      <c r="BF404" s="315"/>
      <c r="BG404" s="315"/>
      <c r="BH404" s="315"/>
      <c r="BI404" s="315"/>
      <c r="BJ404" s="315"/>
      <c r="BK404" s="315"/>
      <c r="BL404" s="315"/>
      <c r="BM404" s="315"/>
      <c r="BN404" s="315"/>
      <c r="BO404" s="315"/>
      <c r="BP404" s="315"/>
      <c r="BQ404" s="315"/>
      <c r="BR404" s="315"/>
      <c r="BS404" s="315"/>
      <c r="BT404" s="315"/>
      <c r="BU404" s="315"/>
      <c r="BV404" s="315"/>
      <c r="BW404" s="315"/>
      <c r="BX404" s="315"/>
      <c r="BY404" s="315"/>
      <c r="BZ404" s="315"/>
      <c r="CA404" s="315"/>
      <c r="CB404" s="315"/>
      <c r="CC404" s="315"/>
      <c r="CD404" s="315"/>
      <c r="CE404" s="315"/>
      <c r="CF404" s="315"/>
      <c r="CG404" s="315"/>
      <c r="CH404" s="315"/>
      <c r="CI404" s="315"/>
      <c r="CJ404" s="315"/>
      <c r="CK404" s="315"/>
      <c r="CL404" s="315"/>
      <c r="CM404" s="315"/>
      <c r="CN404" s="315"/>
      <c r="CO404" s="315"/>
      <c r="CP404" s="315"/>
      <c r="CQ404" s="315"/>
      <c r="CR404" s="315"/>
      <c r="CS404" s="315"/>
      <c r="CT404" s="315"/>
    </row>
    <row r="405" spans="2:98" x14ac:dyDescent="0.3">
      <c r="B405" s="330"/>
      <c r="C405" s="330"/>
      <c r="D405" s="330"/>
      <c r="E405" s="330"/>
      <c r="F405" s="330"/>
      <c r="G405" s="354"/>
      <c r="H405" s="355"/>
      <c r="K405" s="354"/>
      <c r="L405" s="354"/>
      <c r="M405" s="354"/>
      <c r="N405" s="354"/>
      <c r="R405" s="315"/>
      <c r="S405" s="315"/>
      <c r="T405" s="315"/>
      <c r="U405" s="315"/>
      <c r="V405" s="315"/>
      <c r="W405" s="315"/>
      <c r="X405" s="315"/>
      <c r="Y405" s="315"/>
      <c r="Z405" s="315"/>
      <c r="AA405" s="315"/>
      <c r="AB405" s="315"/>
      <c r="AC405" s="315"/>
      <c r="AD405" s="315"/>
      <c r="AE405" s="315"/>
      <c r="AF405" s="315"/>
      <c r="AG405" s="315"/>
      <c r="AH405" s="315"/>
      <c r="AI405" s="315"/>
      <c r="AJ405" s="315"/>
      <c r="AK405" s="315"/>
      <c r="AL405" s="315"/>
      <c r="AM405" s="315"/>
      <c r="AN405" s="315"/>
      <c r="AO405" s="315"/>
      <c r="AP405" s="315"/>
      <c r="AQ405" s="315"/>
      <c r="AR405" s="315"/>
      <c r="AS405" s="315"/>
      <c r="AT405" s="315"/>
      <c r="AU405" s="315"/>
      <c r="AV405" s="315"/>
      <c r="AW405" s="315"/>
      <c r="AX405" s="315"/>
      <c r="AY405" s="315"/>
      <c r="AZ405" s="315"/>
      <c r="BA405" s="315"/>
      <c r="BB405" s="315"/>
      <c r="BC405" s="315"/>
      <c r="BD405" s="315"/>
      <c r="BE405" s="315"/>
      <c r="BF405" s="315"/>
      <c r="BG405" s="315"/>
      <c r="BH405" s="315"/>
      <c r="BI405" s="315"/>
      <c r="BJ405" s="315"/>
      <c r="BK405" s="315"/>
      <c r="BL405" s="315"/>
      <c r="BM405" s="315"/>
      <c r="BN405" s="315"/>
      <c r="BO405" s="315"/>
      <c r="BP405" s="315"/>
      <c r="BQ405" s="315"/>
      <c r="BR405" s="315"/>
      <c r="BS405" s="315"/>
      <c r="BT405" s="315"/>
      <c r="BU405" s="315"/>
      <c r="BV405" s="315"/>
      <c r="BW405" s="315"/>
      <c r="BX405" s="315"/>
      <c r="BY405" s="315"/>
      <c r="BZ405" s="315"/>
      <c r="CA405" s="315"/>
      <c r="CB405" s="315"/>
      <c r="CC405" s="315"/>
      <c r="CD405" s="315"/>
      <c r="CE405" s="315"/>
      <c r="CF405" s="315"/>
      <c r="CG405" s="315"/>
      <c r="CH405" s="315"/>
      <c r="CI405" s="315"/>
      <c r="CJ405" s="315"/>
      <c r="CK405" s="315"/>
      <c r="CL405" s="315"/>
      <c r="CM405" s="315"/>
      <c r="CN405" s="315"/>
      <c r="CO405" s="315"/>
      <c r="CP405" s="315"/>
      <c r="CQ405" s="315"/>
      <c r="CR405" s="315"/>
      <c r="CS405" s="315"/>
      <c r="CT405" s="315"/>
    </row>
    <row r="406" spans="2:98" x14ac:dyDescent="0.3">
      <c r="B406" s="330"/>
      <c r="C406" s="330"/>
      <c r="D406" s="330"/>
      <c r="E406" s="330"/>
      <c r="F406" s="330"/>
      <c r="G406" s="354"/>
      <c r="H406" s="355"/>
      <c r="K406" s="354"/>
      <c r="L406" s="354"/>
      <c r="M406" s="354"/>
      <c r="N406" s="354"/>
      <c r="R406" s="315"/>
      <c r="S406" s="315"/>
      <c r="T406" s="315"/>
      <c r="U406" s="315"/>
      <c r="V406" s="315"/>
      <c r="W406" s="315"/>
      <c r="X406" s="315"/>
      <c r="Y406" s="315"/>
      <c r="Z406" s="315"/>
      <c r="AA406" s="315"/>
      <c r="AB406" s="315"/>
      <c r="AC406" s="315"/>
      <c r="AD406" s="315"/>
      <c r="AE406" s="315"/>
      <c r="AF406" s="315"/>
      <c r="AG406" s="315"/>
      <c r="AH406" s="315"/>
      <c r="AI406" s="315"/>
      <c r="AJ406" s="315"/>
      <c r="AK406" s="315"/>
      <c r="AL406" s="315"/>
      <c r="AM406" s="315"/>
      <c r="AN406" s="315"/>
      <c r="AO406" s="315"/>
      <c r="AP406" s="315"/>
      <c r="AQ406" s="315"/>
      <c r="AR406" s="315"/>
      <c r="AS406" s="315"/>
      <c r="AT406" s="315"/>
      <c r="AU406" s="315"/>
      <c r="AV406" s="315"/>
      <c r="AW406" s="315"/>
      <c r="AX406" s="315"/>
      <c r="AY406" s="315"/>
      <c r="AZ406" s="315"/>
      <c r="BA406" s="315"/>
      <c r="BB406" s="315"/>
      <c r="BC406" s="315"/>
      <c r="BD406" s="315"/>
      <c r="BE406" s="315"/>
      <c r="BF406" s="315"/>
      <c r="BG406" s="315"/>
      <c r="BH406" s="315"/>
      <c r="BI406" s="315"/>
      <c r="BJ406" s="315"/>
      <c r="BK406" s="315"/>
      <c r="BL406" s="315"/>
      <c r="BM406" s="315"/>
      <c r="BN406" s="315"/>
      <c r="BO406" s="315"/>
      <c r="BP406" s="315"/>
      <c r="BQ406" s="315"/>
      <c r="BR406" s="315"/>
      <c r="BS406" s="315"/>
      <c r="BT406" s="315"/>
      <c r="BU406" s="315"/>
      <c r="BV406" s="315"/>
      <c r="BW406" s="315"/>
      <c r="BX406" s="315"/>
      <c r="BY406" s="315"/>
      <c r="BZ406" s="315"/>
      <c r="CA406" s="315"/>
      <c r="CB406" s="315"/>
      <c r="CC406" s="315"/>
      <c r="CD406" s="315"/>
      <c r="CE406" s="315"/>
      <c r="CF406" s="315"/>
      <c r="CG406" s="315"/>
      <c r="CH406" s="315"/>
      <c r="CI406" s="315"/>
      <c r="CJ406" s="315"/>
      <c r="CK406" s="315"/>
      <c r="CL406" s="315"/>
      <c r="CM406" s="315"/>
      <c r="CN406" s="315"/>
      <c r="CO406" s="315"/>
      <c r="CP406" s="315"/>
      <c r="CQ406" s="315"/>
      <c r="CR406" s="315"/>
      <c r="CS406" s="315"/>
      <c r="CT406" s="315"/>
    </row>
    <row r="407" spans="2:98" x14ac:dyDescent="0.3">
      <c r="B407" s="330"/>
      <c r="C407" s="330"/>
      <c r="D407" s="330"/>
      <c r="E407" s="330"/>
      <c r="G407" s="354"/>
      <c r="H407" s="355"/>
      <c r="K407" s="354"/>
      <c r="L407" s="354"/>
      <c r="M407" s="354"/>
      <c r="N407" s="354"/>
      <c r="R407" s="315"/>
      <c r="S407" s="315"/>
      <c r="T407" s="315"/>
      <c r="U407" s="315"/>
      <c r="V407" s="315"/>
      <c r="W407" s="315"/>
      <c r="X407" s="315"/>
      <c r="Y407" s="315"/>
      <c r="Z407" s="315"/>
      <c r="AA407" s="315"/>
      <c r="AB407" s="315"/>
      <c r="AC407" s="315"/>
      <c r="AD407" s="315"/>
      <c r="AE407" s="315"/>
      <c r="AF407" s="315"/>
      <c r="AG407" s="315"/>
      <c r="AH407" s="315"/>
      <c r="AI407" s="315"/>
      <c r="AJ407" s="315"/>
      <c r="AK407" s="315"/>
      <c r="AL407" s="315"/>
      <c r="AM407" s="315"/>
      <c r="AN407" s="315"/>
      <c r="AO407" s="315"/>
      <c r="AP407" s="315"/>
      <c r="AQ407" s="315"/>
      <c r="AR407" s="315"/>
      <c r="AS407" s="315"/>
      <c r="AT407" s="315"/>
      <c r="AU407" s="315"/>
      <c r="AV407" s="315"/>
      <c r="AW407" s="315"/>
      <c r="AX407" s="315"/>
      <c r="AY407" s="315"/>
      <c r="AZ407" s="315"/>
      <c r="BA407" s="315"/>
      <c r="BB407" s="315"/>
      <c r="BC407" s="315"/>
      <c r="BD407" s="315"/>
      <c r="BE407" s="315"/>
      <c r="BF407" s="315"/>
      <c r="BG407" s="315"/>
      <c r="BH407" s="315"/>
      <c r="BI407" s="315"/>
      <c r="BJ407" s="315"/>
      <c r="BK407" s="315"/>
      <c r="BL407" s="315"/>
      <c r="BM407" s="315"/>
      <c r="BN407" s="315"/>
      <c r="BO407" s="315"/>
      <c r="BP407" s="315"/>
      <c r="BQ407" s="315"/>
      <c r="BR407" s="315"/>
      <c r="BS407" s="315"/>
      <c r="BT407" s="315"/>
      <c r="BU407" s="315"/>
      <c r="BV407" s="315"/>
      <c r="BW407" s="315"/>
      <c r="BX407" s="315"/>
      <c r="BY407" s="315"/>
      <c r="BZ407" s="315"/>
      <c r="CA407" s="315"/>
      <c r="CB407" s="315"/>
      <c r="CC407" s="315"/>
      <c r="CD407" s="315"/>
      <c r="CE407" s="315"/>
      <c r="CF407" s="315"/>
      <c r="CG407" s="315"/>
      <c r="CH407" s="315"/>
      <c r="CI407" s="315"/>
      <c r="CJ407" s="315"/>
      <c r="CK407" s="315"/>
      <c r="CL407" s="315"/>
      <c r="CM407" s="315"/>
      <c r="CN407" s="315"/>
      <c r="CO407" s="315"/>
      <c r="CP407" s="315"/>
      <c r="CQ407" s="315"/>
      <c r="CR407" s="315"/>
      <c r="CS407" s="315"/>
      <c r="CT407" s="315"/>
    </row>
    <row r="408" spans="2:98" x14ac:dyDescent="0.3">
      <c r="B408" s="330"/>
      <c r="C408" s="330"/>
      <c r="D408" s="330"/>
      <c r="E408" s="330"/>
      <c r="G408" s="354"/>
      <c r="H408" s="355"/>
      <c r="K408" s="354"/>
      <c r="L408" s="354"/>
      <c r="M408" s="354"/>
      <c r="N408" s="354"/>
      <c r="R408" s="315"/>
      <c r="S408" s="315"/>
      <c r="T408" s="315"/>
      <c r="U408" s="315"/>
      <c r="V408" s="315"/>
      <c r="W408" s="315"/>
      <c r="X408" s="315"/>
      <c r="Y408" s="315"/>
      <c r="Z408" s="315"/>
      <c r="AA408" s="315"/>
      <c r="AB408" s="315"/>
      <c r="AC408" s="315"/>
      <c r="AD408" s="315"/>
      <c r="AE408" s="315"/>
      <c r="AF408" s="315"/>
      <c r="AG408" s="315"/>
      <c r="AH408" s="315"/>
      <c r="AI408" s="315"/>
      <c r="AJ408" s="315"/>
      <c r="AK408" s="315"/>
      <c r="AL408" s="315"/>
      <c r="AM408" s="315"/>
      <c r="AN408" s="315"/>
      <c r="AO408" s="315"/>
      <c r="AP408" s="315"/>
      <c r="AQ408" s="315"/>
      <c r="AR408" s="315"/>
      <c r="AS408" s="315"/>
      <c r="AT408" s="315"/>
      <c r="AU408" s="315"/>
      <c r="AV408" s="315"/>
      <c r="AW408" s="315"/>
      <c r="AX408" s="315"/>
      <c r="AY408" s="315"/>
      <c r="AZ408" s="315"/>
      <c r="BA408" s="315"/>
      <c r="BB408" s="315"/>
      <c r="BC408" s="315"/>
      <c r="BD408" s="315"/>
      <c r="BE408" s="315"/>
      <c r="BF408" s="315"/>
      <c r="BG408" s="315"/>
      <c r="BH408" s="315"/>
      <c r="BI408" s="315"/>
      <c r="BJ408" s="315"/>
      <c r="BK408" s="315"/>
      <c r="BL408" s="315"/>
      <c r="BM408" s="315"/>
      <c r="BN408" s="315"/>
      <c r="BO408" s="315"/>
      <c r="BP408" s="315"/>
      <c r="BQ408" s="315"/>
      <c r="BR408" s="315"/>
      <c r="BS408" s="315"/>
      <c r="BT408" s="315"/>
      <c r="BU408" s="315"/>
      <c r="BV408" s="315"/>
      <c r="BW408" s="315"/>
      <c r="BX408" s="315"/>
      <c r="BY408" s="315"/>
      <c r="BZ408" s="315"/>
      <c r="CA408" s="315"/>
      <c r="CB408" s="315"/>
      <c r="CC408" s="315"/>
      <c r="CD408" s="315"/>
      <c r="CE408" s="315"/>
      <c r="CF408" s="315"/>
      <c r="CG408" s="315"/>
      <c r="CH408" s="315"/>
      <c r="CI408" s="315"/>
      <c r="CJ408" s="315"/>
      <c r="CK408" s="315"/>
      <c r="CL408" s="315"/>
      <c r="CM408" s="315"/>
      <c r="CN408" s="315"/>
      <c r="CO408" s="315"/>
      <c r="CP408" s="315"/>
      <c r="CQ408" s="315"/>
      <c r="CR408" s="315"/>
      <c r="CS408" s="315"/>
      <c r="CT408" s="315"/>
    </row>
    <row r="409" spans="2:98" x14ac:dyDescent="0.3">
      <c r="B409" s="330"/>
      <c r="C409" s="330"/>
      <c r="G409" s="354"/>
      <c r="H409" s="355"/>
      <c r="K409" s="354"/>
      <c r="L409" s="354"/>
      <c r="M409" s="354"/>
      <c r="N409" s="354"/>
      <c r="R409" s="315"/>
      <c r="S409" s="315"/>
      <c r="T409" s="315"/>
      <c r="U409" s="315"/>
      <c r="V409" s="315"/>
      <c r="W409" s="315"/>
      <c r="X409" s="315"/>
      <c r="Y409" s="315"/>
      <c r="Z409" s="315"/>
      <c r="AA409" s="315"/>
      <c r="AB409" s="315"/>
      <c r="AC409" s="315"/>
      <c r="AD409" s="315"/>
      <c r="AE409" s="315"/>
      <c r="AF409" s="315"/>
      <c r="AG409" s="315"/>
      <c r="AH409" s="315"/>
      <c r="AI409" s="315"/>
      <c r="AJ409" s="315"/>
      <c r="AK409" s="315"/>
      <c r="AL409" s="315"/>
      <c r="AM409" s="315"/>
      <c r="AN409" s="315"/>
      <c r="AO409" s="315"/>
      <c r="AP409" s="315"/>
      <c r="AQ409" s="315"/>
      <c r="AR409" s="315"/>
      <c r="AS409" s="315"/>
      <c r="AT409" s="315"/>
      <c r="AU409" s="315"/>
      <c r="AV409" s="315"/>
      <c r="AW409" s="315"/>
      <c r="AX409" s="315"/>
      <c r="AY409" s="315"/>
      <c r="AZ409" s="315"/>
      <c r="BA409" s="315"/>
      <c r="BB409" s="315"/>
      <c r="BC409" s="315"/>
      <c r="BD409" s="315"/>
      <c r="BE409" s="315"/>
      <c r="BF409" s="315"/>
      <c r="BG409" s="315"/>
      <c r="BH409" s="315"/>
      <c r="BI409" s="315"/>
      <c r="BJ409" s="315"/>
      <c r="BK409" s="315"/>
      <c r="BL409" s="315"/>
      <c r="BM409" s="315"/>
      <c r="BN409" s="315"/>
      <c r="BO409" s="315"/>
      <c r="BP409" s="315"/>
      <c r="BQ409" s="315"/>
      <c r="BR409" s="315"/>
      <c r="BS409" s="315"/>
      <c r="BT409" s="315"/>
      <c r="BU409" s="315"/>
      <c r="BV409" s="315"/>
      <c r="BW409" s="315"/>
      <c r="BX409" s="315"/>
      <c r="BY409" s="315"/>
      <c r="BZ409" s="315"/>
      <c r="CA409" s="315"/>
      <c r="CB409" s="315"/>
      <c r="CC409" s="315"/>
      <c r="CD409" s="315"/>
      <c r="CE409" s="315"/>
      <c r="CF409" s="315"/>
      <c r="CG409" s="315"/>
      <c r="CH409" s="315"/>
      <c r="CI409" s="315"/>
      <c r="CJ409" s="315"/>
      <c r="CK409" s="315"/>
      <c r="CL409" s="315"/>
      <c r="CM409" s="315"/>
      <c r="CN409" s="315"/>
      <c r="CO409" s="315"/>
      <c r="CP409" s="315"/>
      <c r="CQ409" s="315"/>
      <c r="CR409" s="315"/>
      <c r="CS409" s="315"/>
      <c r="CT409" s="315"/>
    </row>
    <row r="410" spans="2:98" x14ac:dyDescent="0.3">
      <c r="B410" s="330"/>
      <c r="C410" s="330"/>
      <c r="G410" s="354"/>
      <c r="H410" s="355"/>
      <c r="K410" s="354"/>
      <c r="L410" s="354"/>
      <c r="M410" s="354"/>
      <c r="N410" s="354"/>
      <c r="R410" s="315"/>
      <c r="S410" s="315"/>
      <c r="T410" s="315"/>
      <c r="U410" s="315"/>
      <c r="V410" s="315"/>
      <c r="W410" s="315"/>
      <c r="X410" s="315"/>
      <c r="Y410" s="315"/>
      <c r="Z410" s="315"/>
      <c r="AA410" s="315"/>
      <c r="AB410" s="315"/>
      <c r="AC410" s="315"/>
      <c r="AD410" s="315"/>
      <c r="AE410" s="315"/>
      <c r="AF410" s="315"/>
      <c r="AG410" s="315"/>
      <c r="AH410" s="315"/>
      <c r="AI410" s="315"/>
      <c r="AJ410" s="315"/>
      <c r="AK410" s="315"/>
      <c r="AL410" s="315"/>
      <c r="AM410" s="315"/>
      <c r="AN410" s="315"/>
      <c r="AO410" s="315"/>
      <c r="AP410" s="315"/>
      <c r="AQ410" s="315"/>
      <c r="AR410" s="315"/>
      <c r="AS410" s="315"/>
      <c r="AT410" s="315"/>
      <c r="AU410" s="315"/>
      <c r="AV410" s="315"/>
      <c r="AW410" s="315"/>
      <c r="AX410" s="315"/>
      <c r="AY410" s="315"/>
      <c r="AZ410" s="315"/>
      <c r="BA410" s="315"/>
      <c r="BB410" s="315"/>
      <c r="BC410" s="315"/>
      <c r="BD410" s="315"/>
      <c r="BE410" s="315"/>
      <c r="BF410" s="315"/>
      <c r="BG410" s="315"/>
      <c r="BH410" s="315"/>
      <c r="BI410" s="315"/>
      <c r="BJ410" s="315"/>
      <c r="BK410" s="315"/>
      <c r="BL410" s="315"/>
      <c r="BM410" s="315"/>
      <c r="BN410" s="315"/>
      <c r="BO410" s="315"/>
      <c r="BP410" s="315"/>
      <c r="BQ410" s="315"/>
      <c r="BR410" s="315"/>
      <c r="BS410" s="315"/>
      <c r="BT410" s="315"/>
      <c r="BU410" s="315"/>
      <c r="BV410" s="315"/>
      <c r="BW410" s="315"/>
      <c r="BX410" s="315"/>
      <c r="BY410" s="315"/>
      <c r="BZ410" s="315"/>
      <c r="CA410" s="315"/>
      <c r="CB410" s="315"/>
      <c r="CC410" s="315"/>
      <c r="CD410" s="315"/>
      <c r="CE410" s="315"/>
      <c r="CF410" s="315"/>
      <c r="CG410" s="315"/>
      <c r="CH410" s="315"/>
      <c r="CI410" s="315"/>
      <c r="CJ410" s="315"/>
      <c r="CK410" s="315"/>
      <c r="CL410" s="315"/>
      <c r="CM410" s="315"/>
      <c r="CN410" s="315"/>
      <c r="CO410" s="315"/>
      <c r="CP410" s="315"/>
      <c r="CQ410" s="315"/>
      <c r="CR410" s="315"/>
      <c r="CS410" s="315"/>
      <c r="CT410" s="315"/>
    </row>
    <row r="411" spans="2:98" x14ac:dyDescent="0.3">
      <c r="G411" s="354"/>
      <c r="H411" s="355"/>
      <c r="K411" s="354"/>
      <c r="L411" s="354"/>
      <c r="M411" s="354"/>
      <c r="N411" s="354"/>
    </row>
    <row r="412" spans="2:98" x14ac:dyDescent="0.3">
      <c r="G412" s="354"/>
      <c r="H412" s="355"/>
      <c r="K412" s="354"/>
      <c r="L412" s="354"/>
      <c r="M412" s="354"/>
      <c r="N412" s="354"/>
    </row>
    <row r="413" spans="2:98" x14ac:dyDescent="0.3">
      <c r="G413" s="354"/>
      <c r="H413" s="355"/>
      <c r="K413" s="354"/>
      <c r="L413" s="354"/>
      <c r="M413" s="354"/>
      <c r="N413" s="354"/>
    </row>
    <row r="414" spans="2:98" x14ac:dyDescent="0.3">
      <c r="G414" s="354"/>
      <c r="H414" s="355"/>
      <c r="K414" s="354"/>
      <c r="L414" s="354"/>
      <c r="M414" s="354"/>
      <c r="N414" s="354"/>
    </row>
    <row r="415" spans="2:98" x14ac:dyDescent="0.3">
      <c r="G415" s="354"/>
      <c r="H415" s="355"/>
      <c r="K415" s="354"/>
      <c r="L415" s="354"/>
      <c r="M415" s="354"/>
      <c r="N415" s="354"/>
    </row>
    <row r="416" spans="2:98" x14ac:dyDescent="0.3">
      <c r="G416" s="354"/>
      <c r="H416" s="355"/>
      <c r="K416" s="354"/>
      <c r="L416" s="354"/>
      <c r="M416" s="354"/>
      <c r="N416" s="354"/>
    </row>
    <row r="417" spans="7:14" x14ac:dyDescent="0.3">
      <c r="G417" s="354"/>
      <c r="H417" s="355"/>
      <c r="K417" s="354"/>
      <c r="L417" s="354"/>
      <c r="M417" s="354"/>
      <c r="N417" s="354"/>
    </row>
    <row r="418" spans="7:14" x14ac:dyDescent="0.3">
      <c r="G418" s="354"/>
      <c r="H418" s="355"/>
      <c r="K418" s="354"/>
      <c r="L418" s="354"/>
      <c r="M418" s="354"/>
      <c r="N418" s="354"/>
    </row>
    <row r="419" spans="7:14" x14ac:dyDescent="0.3">
      <c r="G419" s="354"/>
      <c r="H419" s="355"/>
      <c r="K419" s="354"/>
      <c r="L419" s="354"/>
      <c r="M419" s="354"/>
      <c r="N419" s="354"/>
    </row>
    <row r="420" spans="7:14" x14ac:dyDescent="0.3">
      <c r="G420" s="354"/>
      <c r="H420" s="355"/>
      <c r="K420" s="354"/>
      <c r="L420" s="354"/>
      <c r="M420" s="354"/>
      <c r="N420" s="354"/>
    </row>
    <row r="421" spans="7:14" x14ac:dyDescent="0.3">
      <c r="G421" s="354"/>
      <c r="H421" s="355"/>
      <c r="K421" s="354"/>
      <c r="L421" s="354"/>
      <c r="M421" s="354"/>
      <c r="N421" s="354"/>
    </row>
    <row r="422" spans="7:14" x14ac:dyDescent="0.3">
      <c r="G422" s="354"/>
      <c r="H422" s="355"/>
      <c r="K422" s="354"/>
      <c r="L422" s="354"/>
      <c r="M422" s="354"/>
      <c r="N422" s="354"/>
    </row>
    <row r="423" spans="7:14" x14ac:dyDescent="0.3">
      <c r="G423" s="354"/>
      <c r="H423" s="355"/>
      <c r="K423" s="354"/>
      <c r="L423" s="354"/>
      <c r="M423" s="354"/>
      <c r="N423" s="354"/>
    </row>
    <row r="424" spans="7:14" x14ac:dyDescent="0.3">
      <c r="G424" s="354"/>
      <c r="H424" s="355"/>
      <c r="K424" s="354"/>
      <c r="L424" s="354"/>
      <c r="M424" s="354"/>
      <c r="N424" s="354"/>
    </row>
    <row r="425" spans="7:14" x14ac:dyDescent="0.3">
      <c r="G425" s="354"/>
      <c r="H425" s="355"/>
      <c r="K425" s="354"/>
      <c r="L425" s="354"/>
      <c r="M425" s="354"/>
      <c r="N425" s="354"/>
    </row>
    <row r="426" spans="7:14" x14ac:dyDescent="0.3">
      <c r="G426" s="354"/>
      <c r="H426" s="355"/>
      <c r="K426" s="354"/>
      <c r="L426" s="354"/>
      <c r="M426" s="354"/>
      <c r="N426" s="354"/>
    </row>
    <row r="427" spans="7:14" x14ac:dyDescent="0.3">
      <c r="G427" s="354"/>
      <c r="H427" s="355"/>
      <c r="K427" s="354"/>
      <c r="L427" s="354"/>
      <c r="M427" s="354"/>
      <c r="N427" s="354"/>
    </row>
    <row r="428" spans="7:14" x14ac:dyDescent="0.3">
      <c r="G428" s="354"/>
      <c r="H428" s="355"/>
      <c r="K428" s="354"/>
      <c r="L428" s="354"/>
      <c r="M428" s="354"/>
      <c r="N428" s="354"/>
    </row>
    <row r="429" spans="7:14" x14ac:dyDescent="0.3">
      <c r="G429" s="354"/>
      <c r="H429" s="355"/>
      <c r="K429" s="354"/>
      <c r="L429" s="354"/>
      <c r="M429" s="354"/>
      <c r="N429" s="354"/>
    </row>
    <row r="430" spans="7:14" x14ac:dyDescent="0.3">
      <c r="G430" s="354"/>
      <c r="H430" s="355"/>
      <c r="K430" s="354"/>
      <c r="L430" s="354"/>
      <c r="M430" s="354"/>
      <c r="N430" s="354"/>
    </row>
    <row r="431" spans="7:14" x14ac:dyDescent="0.3">
      <c r="G431" s="354"/>
      <c r="H431" s="355"/>
      <c r="K431" s="354"/>
      <c r="L431" s="354"/>
      <c r="M431" s="354"/>
      <c r="N431" s="354"/>
    </row>
    <row r="432" spans="7:14" x14ac:dyDescent="0.3">
      <c r="G432" s="354"/>
      <c r="H432" s="355"/>
      <c r="K432" s="354"/>
      <c r="L432" s="354"/>
      <c r="M432" s="354"/>
      <c r="N432" s="354"/>
    </row>
    <row r="433" spans="7:14" x14ac:dyDescent="0.3">
      <c r="G433" s="354"/>
      <c r="H433" s="355"/>
      <c r="K433" s="354"/>
      <c r="L433" s="354"/>
      <c r="M433" s="354"/>
      <c r="N433" s="354"/>
    </row>
    <row r="434" spans="7:14" x14ac:dyDescent="0.3">
      <c r="G434" s="354"/>
      <c r="H434" s="355"/>
      <c r="K434" s="354"/>
      <c r="L434" s="354"/>
      <c r="M434" s="354"/>
      <c r="N434" s="354"/>
    </row>
    <row r="435" spans="7:14" x14ac:dyDescent="0.3">
      <c r="G435" s="354"/>
      <c r="H435" s="355"/>
      <c r="K435" s="354"/>
      <c r="L435" s="354"/>
      <c r="M435" s="354"/>
      <c r="N435" s="354"/>
    </row>
    <row r="436" spans="7:14" x14ac:dyDescent="0.3">
      <c r="G436" s="354"/>
      <c r="H436" s="355"/>
      <c r="K436" s="354"/>
      <c r="L436" s="354"/>
      <c r="M436" s="354"/>
      <c r="N436" s="354"/>
    </row>
    <row r="437" spans="7:14" x14ac:dyDescent="0.3">
      <c r="G437" s="354"/>
      <c r="H437" s="355"/>
      <c r="K437" s="354"/>
      <c r="L437" s="354"/>
      <c r="M437" s="354"/>
      <c r="N437" s="354"/>
    </row>
    <row r="438" spans="7:14" x14ac:dyDescent="0.3">
      <c r="G438" s="354"/>
      <c r="H438" s="355"/>
      <c r="K438" s="354"/>
      <c r="L438" s="354"/>
      <c r="M438" s="354"/>
      <c r="N438" s="354"/>
    </row>
    <row r="439" spans="7:14" x14ac:dyDescent="0.3">
      <c r="G439" s="354"/>
      <c r="H439" s="355"/>
      <c r="K439" s="354"/>
      <c r="L439" s="354"/>
      <c r="M439" s="354"/>
      <c r="N439" s="354"/>
    </row>
    <row r="440" spans="7:14" x14ac:dyDescent="0.3">
      <c r="G440" s="354"/>
      <c r="H440" s="355"/>
      <c r="K440" s="354"/>
      <c r="L440" s="354"/>
      <c r="M440" s="354"/>
      <c r="N440" s="354"/>
    </row>
    <row r="441" spans="7:14" x14ac:dyDescent="0.3">
      <c r="G441" s="354"/>
      <c r="H441" s="355"/>
      <c r="K441" s="354"/>
      <c r="L441" s="354"/>
      <c r="M441" s="354"/>
      <c r="N441" s="354"/>
    </row>
    <row r="442" spans="7:14" x14ac:dyDescent="0.3">
      <c r="G442" s="354"/>
      <c r="H442" s="355"/>
      <c r="K442" s="354"/>
      <c r="L442" s="354"/>
      <c r="M442" s="354"/>
      <c r="N442" s="354"/>
    </row>
    <row r="443" spans="7:14" x14ac:dyDescent="0.3">
      <c r="G443" s="354"/>
      <c r="H443" s="355"/>
      <c r="K443" s="354"/>
      <c r="L443" s="354"/>
      <c r="M443" s="354"/>
      <c r="N443" s="354"/>
    </row>
    <row r="444" spans="7:14" x14ac:dyDescent="0.3">
      <c r="G444" s="354"/>
      <c r="H444" s="355"/>
      <c r="K444" s="354"/>
      <c r="L444" s="354"/>
      <c r="M444" s="354"/>
      <c r="N444" s="354"/>
    </row>
    <row r="445" spans="7:14" x14ac:dyDescent="0.3">
      <c r="G445" s="354"/>
      <c r="H445" s="355"/>
      <c r="K445" s="354"/>
      <c r="L445" s="354"/>
      <c r="M445" s="354"/>
      <c r="N445" s="354"/>
    </row>
    <row r="446" spans="7:14" x14ac:dyDescent="0.3">
      <c r="G446" s="354"/>
      <c r="H446" s="355"/>
      <c r="K446" s="354"/>
      <c r="L446" s="354"/>
      <c r="M446" s="354"/>
      <c r="N446" s="354"/>
    </row>
    <row r="447" spans="7:14" x14ac:dyDescent="0.3">
      <c r="G447" s="354"/>
      <c r="H447" s="355"/>
      <c r="K447" s="354"/>
      <c r="L447" s="354"/>
      <c r="M447" s="354"/>
      <c r="N447" s="354"/>
    </row>
    <row r="448" spans="7:14" x14ac:dyDescent="0.3">
      <c r="G448" s="354"/>
      <c r="H448" s="355"/>
      <c r="K448" s="354"/>
      <c r="L448" s="354"/>
      <c r="M448" s="354"/>
      <c r="N448" s="354"/>
    </row>
    <row r="449" spans="7:17" x14ac:dyDescent="0.3">
      <c r="G449" s="354"/>
      <c r="H449" s="355"/>
      <c r="K449" s="354"/>
      <c r="L449" s="354"/>
      <c r="M449" s="354"/>
      <c r="N449" s="354"/>
    </row>
    <row r="450" spans="7:17" x14ac:dyDescent="0.3">
      <c r="G450" s="354"/>
      <c r="H450" s="355"/>
      <c r="K450" s="354"/>
      <c r="L450" s="354"/>
      <c r="M450" s="354"/>
      <c r="N450" s="354"/>
    </row>
    <row r="451" spans="7:17" x14ac:dyDescent="0.3">
      <c r="G451" s="354"/>
      <c r="H451" s="355"/>
      <c r="K451" s="354"/>
      <c r="L451" s="354"/>
      <c r="M451" s="354"/>
      <c r="N451" s="354"/>
    </row>
    <row r="452" spans="7:17" x14ac:dyDescent="0.3">
      <c r="G452" s="354"/>
      <c r="H452" s="355"/>
      <c r="K452" s="354"/>
      <c r="L452" s="354"/>
      <c r="M452" s="354"/>
      <c r="N452" s="354"/>
    </row>
    <row r="453" spans="7:17" x14ac:dyDescent="0.3">
      <c r="G453" s="354"/>
      <c r="H453" s="355"/>
      <c r="K453" s="354"/>
      <c r="L453" s="354"/>
      <c r="M453" s="354"/>
      <c r="N453" s="354"/>
    </row>
    <row r="454" spans="7:17" x14ac:dyDescent="0.3">
      <c r="G454" s="354"/>
      <c r="H454" s="355"/>
      <c r="K454" s="354"/>
      <c r="L454" s="354"/>
      <c r="M454" s="354"/>
      <c r="N454" s="354"/>
    </row>
    <row r="455" spans="7:17" x14ac:dyDescent="0.3">
      <c r="G455" s="354"/>
      <c r="H455" s="355"/>
      <c r="K455" s="354"/>
      <c r="L455" s="354"/>
      <c r="M455" s="354"/>
      <c r="N455" s="354"/>
    </row>
    <row r="456" spans="7:17" x14ac:dyDescent="0.3">
      <c r="G456" s="354"/>
      <c r="H456" s="355"/>
      <c r="K456" s="354"/>
      <c r="L456" s="354"/>
      <c r="M456" s="354"/>
      <c r="N456" s="354"/>
    </row>
    <row r="457" spans="7:17" x14ac:dyDescent="0.3">
      <c r="G457" s="354"/>
      <c r="H457" s="355"/>
      <c r="K457" s="354"/>
      <c r="L457" s="354"/>
      <c r="M457" s="354"/>
      <c r="N457" s="354"/>
    </row>
    <row r="458" spans="7:17" x14ac:dyDescent="0.3">
      <c r="G458" s="354"/>
      <c r="H458" s="355"/>
      <c r="K458" s="354"/>
      <c r="L458" s="354"/>
      <c r="M458" s="354"/>
      <c r="N458" s="354"/>
    </row>
    <row r="459" spans="7:17" x14ac:dyDescent="0.3">
      <c r="G459" s="354"/>
      <c r="H459" s="355"/>
      <c r="K459" s="354"/>
      <c r="L459" s="354"/>
      <c r="M459" s="354"/>
      <c r="N459" s="354"/>
    </row>
    <row r="460" spans="7:17" x14ac:dyDescent="0.3">
      <c r="G460" s="354"/>
      <c r="H460" s="355"/>
      <c r="K460" s="354"/>
      <c r="L460" s="354"/>
      <c r="M460" s="354"/>
      <c r="N460" s="354"/>
    </row>
    <row r="461" spans="7:17" x14ac:dyDescent="0.3">
      <c r="G461" s="354"/>
      <c r="H461" s="355"/>
      <c r="K461" s="354"/>
      <c r="L461" s="354"/>
      <c r="M461" s="354"/>
      <c r="N461" s="354"/>
    </row>
    <row r="462" spans="7:17" x14ac:dyDescent="0.3">
      <c r="G462" s="354"/>
      <c r="H462" s="355"/>
      <c r="K462" s="354"/>
      <c r="L462" s="354"/>
      <c r="M462" s="354"/>
      <c r="N462" s="354"/>
      <c r="O462" s="358"/>
      <c r="P462" s="359"/>
    </row>
    <row r="463" spans="7:17" x14ac:dyDescent="0.3">
      <c r="G463" s="354"/>
      <c r="H463" s="355"/>
      <c r="K463" s="354"/>
      <c r="L463" s="354"/>
      <c r="M463" s="354"/>
      <c r="N463" s="354"/>
      <c r="O463" s="358"/>
      <c r="P463" s="359"/>
      <c r="Q463" s="358"/>
    </row>
    <row r="464" spans="7:17" x14ac:dyDescent="0.3">
      <c r="G464" s="354"/>
      <c r="H464" s="355"/>
      <c r="K464" s="354"/>
      <c r="L464" s="354"/>
      <c r="M464" s="354"/>
      <c r="N464" s="354"/>
      <c r="O464" s="358"/>
      <c r="P464" s="359"/>
      <c r="Q464" s="358"/>
    </row>
    <row r="465" spans="7:17" x14ac:dyDescent="0.3">
      <c r="G465" s="354"/>
      <c r="H465" s="355"/>
      <c r="K465" s="354"/>
      <c r="L465" s="354"/>
      <c r="M465" s="354"/>
      <c r="N465" s="354"/>
      <c r="O465" s="358"/>
      <c r="P465" s="359"/>
      <c r="Q465" s="358"/>
    </row>
    <row r="466" spans="7:17" x14ac:dyDescent="0.3">
      <c r="G466" s="354"/>
      <c r="H466" s="355"/>
      <c r="K466" s="354"/>
      <c r="L466" s="354"/>
      <c r="M466" s="354"/>
      <c r="N466" s="354"/>
      <c r="O466" s="358"/>
      <c r="P466" s="359"/>
      <c r="Q466" s="358"/>
    </row>
    <row r="467" spans="7:17" x14ac:dyDescent="0.3">
      <c r="G467" s="354"/>
      <c r="H467" s="355"/>
      <c r="K467" s="354"/>
      <c r="L467" s="354"/>
      <c r="M467" s="354"/>
      <c r="N467" s="354"/>
      <c r="O467" s="358"/>
      <c r="P467" s="359"/>
      <c r="Q467" s="358"/>
    </row>
    <row r="468" spans="7:17" x14ac:dyDescent="0.3">
      <c r="G468" s="354"/>
      <c r="H468" s="355"/>
      <c r="K468" s="354"/>
      <c r="L468" s="354"/>
      <c r="M468" s="354"/>
      <c r="N468" s="354"/>
      <c r="O468" s="358"/>
      <c r="P468" s="359"/>
      <c r="Q468" s="358"/>
    </row>
    <row r="469" spans="7:17" x14ac:dyDescent="0.3">
      <c r="G469" s="354"/>
      <c r="H469" s="355"/>
      <c r="K469" s="354"/>
      <c r="L469" s="354"/>
      <c r="M469" s="354"/>
      <c r="N469" s="354"/>
      <c r="O469" s="358"/>
      <c r="P469" s="359"/>
      <c r="Q469" s="358"/>
    </row>
    <row r="470" spans="7:17" x14ac:dyDescent="0.3">
      <c r="G470" s="354"/>
      <c r="H470" s="355"/>
      <c r="K470" s="354"/>
      <c r="L470" s="354"/>
      <c r="M470" s="354"/>
      <c r="N470" s="354"/>
      <c r="O470" s="358"/>
      <c r="P470" s="359"/>
      <c r="Q470" s="358"/>
    </row>
    <row r="471" spans="7:17" x14ac:dyDescent="0.3">
      <c r="G471" s="354"/>
      <c r="H471" s="355"/>
      <c r="K471" s="354"/>
      <c r="L471" s="354"/>
      <c r="M471" s="354"/>
      <c r="N471" s="354"/>
      <c r="O471" s="358"/>
      <c r="P471" s="359"/>
      <c r="Q471" s="358"/>
    </row>
    <row r="472" spans="7:17" x14ac:dyDescent="0.3">
      <c r="G472" s="354"/>
      <c r="H472" s="355"/>
      <c r="K472" s="354"/>
      <c r="L472" s="354"/>
      <c r="M472" s="354"/>
      <c r="N472" s="354"/>
      <c r="O472" s="358"/>
      <c r="P472" s="359"/>
      <c r="Q472" s="358"/>
    </row>
    <row r="473" spans="7:17" x14ac:dyDescent="0.3">
      <c r="G473" s="354"/>
      <c r="H473" s="355"/>
      <c r="K473" s="354"/>
      <c r="L473" s="354"/>
      <c r="M473" s="354"/>
      <c r="N473" s="354"/>
      <c r="O473" s="358"/>
      <c r="P473" s="359"/>
      <c r="Q473" s="358"/>
    </row>
    <row r="474" spans="7:17" x14ac:dyDescent="0.3">
      <c r="G474" s="354"/>
      <c r="H474" s="355"/>
      <c r="K474" s="354"/>
      <c r="L474" s="354"/>
      <c r="M474" s="354"/>
      <c r="N474" s="354"/>
      <c r="O474" s="358"/>
      <c r="P474" s="359"/>
      <c r="Q474" s="358"/>
    </row>
    <row r="475" spans="7:17" x14ac:dyDescent="0.3">
      <c r="G475" s="354"/>
      <c r="H475" s="355"/>
      <c r="K475" s="354"/>
      <c r="L475" s="354"/>
      <c r="M475" s="354"/>
      <c r="N475" s="354"/>
      <c r="O475" s="358"/>
      <c r="P475" s="359"/>
      <c r="Q475" s="358"/>
    </row>
    <row r="476" spans="7:17" x14ac:dyDescent="0.3">
      <c r="G476" s="354"/>
      <c r="H476" s="355"/>
      <c r="K476" s="354"/>
      <c r="L476" s="354"/>
      <c r="M476" s="354"/>
      <c r="N476" s="354"/>
      <c r="O476" s="358"/>
      <c r="P476" s="359"/>
      <c r="Q476" s="358"/>
    </row>
    <row r="477" spans="7:17" x14ac:dyDescent="0.3">
      <c r="G477" s="354"/>
      <c r="H477" s="355"/>
      <c r="K477" s="354"/>
      <c r="L477" s="354"/>
      <c r="M477" s="354"/>
      <c r="N477" s="354"/>
      <c r="O477" s="358"/>
      <c r="P477" s="359"/>
      <c r="Q477" s="358"/>
    </row>
    <row r="478" spans="7:17" x14ac:dyDescent="0.3">
      <c r="G478" s="354"/>
      <c r="H478" s="355"/>
      <c r="K478" s="354"/>
      <c r="L478" s="354"/>
      <c r="M478" s="354"/>
      <c r="N478" s="354"/>
      <c r="O478" s="358"/>
      <c r="P478" s="359"/>
      <c r="Q478" s="358"/>
    </row>
    <row r="479" spans="7:17" x14ac:dyDescent="0.3">
      <c r="G479" s="354"/>
      <c r="H479" s="355"/>
      <c r="K479" s="354"/>
      <c r="L479" s="354"/>
      <c r="M479" s="354"/>
      <c r="N479" s="354"/>
      <c r="O479" s="358"/>
      <c r="P479" s="359"/>
      <c r="Q479" s="358"/>
    </row>
    <row r="480" spans="7:17" x14ac:dyDescent="0.3">
      <c r="G480" s="354"/>
      <c r="H480" s="355"/>
      <c r="K480" s="354"/>
      <c r="L480" s="354"/>
      <c r="M480" s="354"/>
      <c r="N480" s="354"/>
      <c r="O480" s="358"/>
      <c r="P480" s="359"/>
      <c r="Q480" s="358"/>
    </row>
    <row r="481" spans="7:17" x14ac:dyDescent="0.3">
      <c r="G481" s="354"/>
      <c r="H481" s="355"/>
      <c r="K481" s="354"/>
      <c r="L481" s="354"/>
      <c r="M481" s="354"/>
      <c r="N481" s="354"/>
      <c r="O481" s="358"/>
      <c r="P481" s="359"/>
      <c r="Q481" s="358"/>
    </row>
    <row r="482" spans="7:17" x14ac:dyDescent="0.3">
      <c r="G482" s="354"/>
      <c r="H482" s="355"/>
      <c r="K482" s="354"/>
      <c r="L482" s="354"/>
      <c r="M482" s="354"/>
      <c r="N482" s="354"/>
      <c r="O482" s="358"/>
      <c r="P482" s="359"/>
      <c r="Q482" s="358"/>
    </row>
    <row r="483" spans="7:17" x14ac:dyDescent="0.3">
      <c r="O483" s="358"/>
      <c r="P483" s="359"/>
      <c r="Q483" s="358"/>
    </row>
    <row r="484" spans="7:17" x14ac:dyDescent="0.3">
      <c r="O484" s="358"/>
      <c r="P484" s="359"/>
      <c r="Q484" s="358"/>
    </row>
    <row r="485" spans="7:17" x14ac:dyDescent="0.3">
      <c r="O485" s="358"/>
      <c r="P485" s="359"/>
      <c r="Q485" s="358"/>
    </row>
    <row r="486" spans="7:17" x14ac:dyDescent="0.3">
      <c r="O486" s="358"/>
      <c r="P486" s="359"/>
      <c r="Q486" s="358"/>
    </row>
    <row r="487" spans="7:17" x14ac:dyDescent="0.3">
      <c r="O487" s="358"/>
      <c r="P487" s="359"/>
      <c r="Q487" s="358"/>
    </row>
    <row r="488" spans="7:17" x14ac:dyDescent="0.3">
      <c r="O488" s="358"/>
      <c r="P488" s="359"/>
      <c r="Q488" s="358"/>
    </row>
    <row r="489" spans="7:17" x14ac:dyDescent="0.3">
      <c r="O489" s="358"/>
      <c r="P489" s="359"/>
      <c r="Q489" s="358"/>
    </row>
    <row r="490" spans="7:17" x14ac:dyDescent="0.3">
      <c r="O490" s="358"/>
      <c r="P490" s="359"/>
      <c r="Q490" s="358"/>
    </row>
    <row r="491" spans="7:17" x14ac:dyDescent="0.3">
      <c r="O491" s="358"/>
      <c r="P491" s="359"/>
      <c r="Q491" s="358"/>
    </row>
    <row r="492" spans="7:17" x14ac:dyDescent="0.3">
      <c r="O492" s="358"/>
      <c r="P492" s="359"/>
      <c r="Q492" s="358"/>
    </row>
    <row r="493" spans="7:17" x14ac:dyDescent="0.3">
      <c r="O493" s="358"/>
      <c r="P493" s="359"/>
      <c r="Q493" s="358"/>
    </row>
    <row r="494" spans="7:17" x14ac:dyDescent="0.3">
      <c r="G494" s="315"/>
      <c r="I494" s="315"/>
      <c r="J494" s="315"/>
      <c r="K494" s="315"/>
      <c r="L494" s="315"/>
      <c r="M494" s="315"/>
      <c r="N494" s="315"/>
      <c r="O494" s="358"/>
      <c r="P494" s="359"/>
      <c r="Q494" s="358"/>
    </row>
    <row r="495" spans="7:17" x14ac:dyDescent="0.3">
      <c r="Q495" s="358"/>
    </row>
    <row r="496" spans="7:17" x14ac:dyDescent="0.3">
      <c r="Q496" s="358"/>
    </row>
    <row r="497" spans="17:17" x14ac:dyDescent="0.3">
      <c r="Q497" s="358"/>
    </row>
    <row r="498" spans="17:17" x14ac:dyDescent="0.3">
      <c r="Q498" s="358"/>
    </row>
    <row r="499" spans="17:17" x14ac:dyDescent="0.3">
      <c r="Q499" s="358"/>
    </row>
    <row r="500" spans="17:17" x14ac:dyDescent="0.3">
      <c r="Q500" s="358"/>
    </row>
  </sheetData>
  <conditionalFormatting sqref="M4:N4 M5 M8:M21 M32:M40 M24:M30 N5:N203 P7:P203">
    <cfRule type="expression" dxfId="50" priority="13">
      <formula>M4&lt;0</formula>
    </cfRule>
  </conditionalFormatting>
  <conditionalFormatting sqref="M3:N3">
    <cfRule type="expression" dxfId="49" priority="10">
      <formula>M3&lt;0</formula>
    </cfRule>
  </conditionalFormatting>
  <conditionalFormatting sqref="M22:M23">
    <cfRule type="expression" dxfId="48" priority="8">
      <formula>M22&lt;0</formula>
    </cfRule>
  </conditionalFormatting>
  <conditionalFormatting sqref="M31">
    <cfRule type="expression" dxfId="47" priority="5">
      <formula>M31&lt;0</formula>
    </cfRule>
  </conditionalFormatting>
  <conditionalFormatting sqref="E18:E67">
    <cfRule type="cellIs" dxfId="46" priority="1" operator="lessThan">
      <formula>0</formula>
    </cfRule>
  </conditionalFormatting>
  <dataValidations count="1">
    <dataValidation type="list" allowBlank="1" showInputMessage="1" showErrorMessage="1" sqref="K3:K39 K41:K202" xr:uid="{00000000-0002-0000-0400-000000000000}">
      <formula1>Category</formula1>
    </dataValidation>
  </dataValidations>
  <printOptions horizontalCentered="1"/>
  <pageMargins left="0.25" right="0.25" top="0.75" bottom="0.75" header="0.3" footer="0.3"/>
  <pageSetup scale="17" orientation="landscape" horizontalDpi="4294967293" r:id="rId1"/>
  <drawing r:id="rId2"/>
  <tableParts count="2">
    <tablePart r:id="rId3"/>
    <tablePart r:id="rId4"/>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sheetPr>
  <dimension ref="A1:N24"/>
  <sheetViews>
    <sheetView workbookViewId="0">
      <selection activeCell="R36" sqref="R35:R36"/>
    </sheetView>
  </sheetViews>
  <sheetFormatPr defaultRowHeight="13.8" x14ac:dyDescent="0.3"/>
  <cols>
    <col min="1" max="1" width="25.6640625" bestFit="1" customWidth="1"/>
    <col min="2" max="2" width="11.109375" bestFit="1" customWidth="1"/>
  </cols>
  <sheetData>
    <row r="1" spans="1:2" ht="15.6" x14ac:dyDescent="0.3">
      <c r="A1" s="556" t="s">
        <v>559</v>
      </c>
      <c r="B1" s="556"/>
    </row>
    <row r="2" spans="1:2" ht="15.6" x14ac:dyDescent="0.3">
      <c r="A2" s="224" t="s">
        <v>60</v>
      </c>
      <c r="B2" s="225">
        <v>6500</v>
      </c>
    </row>
    <row r="3" spans="1:2" ht="15.6" x14ac:dyDescent="0.3">
      <c r="A3" s="224" t="s">
        <v>61</v>
      </c>
      <c r="B3" s="225">
        <v>19000</v>
      </c>
    </row>
    <row r="4" spans="1:2" ht="15.6" x14ac:dyDescent="0.3">
      <c r="A4" s="224" t="s">
        <v>62</v>
      </c>
      <c r="B4" s="225">
        <v>-100</v>
      </c>
    </row>
    <row r="5" spans="1:2" ht="15.6" x14ac:dyDescent="0.3">
      <c r="A5" s="224" t="s">
        <v>63</v>
      </c>
      <c r="B5" s="225">
        <v>-100</v>
      </c>
    </row>
    <row r="6" spans="1:2" ht="15.6" x14ac:dyDescent="0.3">
      <c r="A6" s="224" t="s">
        <v>64</v>
      </c>
      <c r="B6" s="225">
        <v>-50</v>
      </c>
    </row>
    <row r="7" spans="1:2" ht="15.6" x14ac:dyDescent="0.3">
      <c r="A7" s="224" t="s">
        <v>65</v>
      </c>
      <c r="B7" s="225">
        <v>-50</v>
      </c>
    </row>
    <row r="8" spans="1:2" ht="15.6" x14ac:dyDescent="0.3">
      <c r="A8" s="224" t="s">
        <v>66</v>
      </c>
      <c r="B8" s="225">
        <v>-9000</v>
      </c>
    </row>
    <row r="9" spans="1:2" ht="15.6" x14ac:dyDescent="0.3">
      <c r="A9" s="224" t="s">
        <v>67</v>
      </c>
      <c r="B9" s="225">
        <v>-4000</v>
      </c>
    </row>
    <row r="10" spans="1:2" ht="15.6" x14ac:dyDescent="0.3">
      <c r="A10" s="224" t="s">
        <v>68</v>
      </c>
      <c r="B10" s="225">
        <v>-800</v>
      </c>
    </row>
    <row r="11" spans="1:2" ht="15.6" x14ac:dyDescent="0.3">
      <c r="A11" s="224" t="s">
        <v>69</v>
      </c>
      <c r="B11" s="225">
        <v>-6000</v>
      </c>
    </row>
    <row r="12" spans="1:2" ht="15.6" x14ac:dyDescent="0.3">
      <c r="A12" s="224" t="s">
        <v>70</v>
      </c>
      <c r="B12" s="225">
        <v>-400</v>
      </c>
    </row>
    <row r="13" spans="1:2" ht="15.6" x14ac:dyDescent="0.3">
      <c r="A13" s="224" t="s">
        <v>71</v>
      </c>
      <c r="B13" s="225">
        <v>-50</v>
      </c>
    </row>
    <row r="14" spans="1:2" ht="15.6" x14ac:dyDescent="0.3">
      <c r="A14" s="224" t="s">
        <v>72</v>
      </c>
      <c r="B14" s="225">
        <v>-200</v>
      </c>
    </row>
    <row r="15" spans="1:2" ht="15.6" x14ac:dyDescent="0.3">
      <c r="A15" s="224" t="s">
        <v>73</v>
      </c>
      <c r="B15" s="225">
        <v>-200</v>
      </c>
    </row>
    <row r="16" spans="1:2" ht="15.6" x14ac:dyDescent="0.3">
      <c r="A16" s="224" t="s">
        <v>74</v>
      </c>
      <c r="B16" s="225">
        <v>-250</v>
      </c>
    </row>
    <row r="17" spans="1:14" ht="16.2" thickBot="1" x14ac:dyDescent="0.35">
      <c r="A17" s="224" t="s">
        <v>547</v>
      </c>
      <c r="B17" s="226">
        <f>SUM(B2:B16)</f>
        <v>4300</v>
      </c>
    </row>
    <row r="18" spans="1:14" ht="14.4" thickTop="1" x14ac:dyDescent="0.3"/>
    <row r="24" spans="1:14" x14ac:dyDescent="0.3">
      <c r="N24">
        <f>327.29-251.77</f>
        <v>75.52000000000001</v>
      </c>
    </row>
  </sheetData>
  <mergeCells count="1">
    <mergeCell ref="A1:B1"/>
  </mergeCells>
  <pageMargins left="0.7" right="0.7" top="0.75" bottom="0.75" header="0.3" footer="0.3"/>
  <pageSetup orientation="portrait" horizontalDpi="4294967293"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2060"/>
    <pageSetUpPr fitToPage="1"/>
  </sheetPr>
  <dimension ref="B1:CH473"/>
  <sheetViews>
    <sheetView showGridLines="0" showRuler="0" topLeftCell="F24" zoomScaleNormal="100" workbookViewId="0">
      <selection activeCell="K54" sqref="K53:K54"/>
    </sheetView>
  </sheetViews>
  <sheetFormatPr defaultColWidth="9.33203125" defaultRowHeight="14.4" x14ac:dyDescent="0.3"/>
  <cols>
    <col min="1" max="1" width="5.44140625" style="85" customWidth="1"/>
    <col min="2" max="2" width="26.44140625" style="85" customWidth="1"/>
    <col min="3" max="6" width="13.33203125" style="85" customWidth="1"/>
    <col min="7" max="7" width="7.44140625" style="85" customWidth="1"/>
    <col min="8" max="8" width="10.6640625" style="89" customWidth="1"/>
    <col min="9" max="9" width="8.33203125" style="183" customWidth="1"/>
    <col min="10" max="10" width="21.33203125" style="192" customWidth="1"/>
    <col min="11" max="11" width="21.109375" style="87" bestFit="1" customWidth="1"/>
    <col min="12" max="12" width="17" style="87" customWidth="1"/>
    <col min="13" max="13" width="11" style="89" customWidth="1"/>
    <col min="14" max="16" width="11" style="192" customWidth="1"/>
    <col min="17" max="17" width="11" style="182" customWidth="1"/>
    <col min="18" max="18" width="11" style="87" customWidth="1"/>
    <col min="19" max="19" width="10.6640625" style="96" customWidth="1"/>
    <col min="20" max="20" width="9.33203125" style="96"/>
    <col min="21" max="21" width="24.33203125" style="96" bestFit="1" customWidth="1"/>
    <col min="22" max="22" width="9.44140625" style="96" bestFit="1" customWidth="1"/>
    <col min="23" max="24" width="9.33203125" style="96"/>
    <col min="25" max="25" width="21.88671875" style="96" bestFit="1" customWidth="1"/>
    <col min="26" max="86" width="9.33203125" style="96"/>
    <col min="87" max="16384" width="9.33203125" style="85"/>
  </cols>
  <sheetData>
    <row r="1" spans="2:86" s="175" customFormat="1" ht="23.4" x14ac:dyDescent="0.45">
      <c r="C1" s="176"/>
      <c r="D1" s="176"/>
      <c r="E1" s="176"/>
      <c r="F1" s="176"/>
      <c r="G1" s="176"/>
      <c r="H1" s="176" t="s">
        <v>371</v>
      </c>
      <c r="I1" s="230"/>
      <c r="J1" s="190"/>
      <c r="K1" s="176"/>
      <c r="L1" s="176"/>
      <c r="M1" s="177"/>
      <c r="N1" s="190" t="s">
        <v>440</v>
      </c>
      <c r="O1" s="195">
        <f ca="1">NOW()</f>
        <v>44534.888377546296</v>
      </c>
      <c r="P1" s="190"/>
      <c r="Q1" s="181"/>
      <c r="R1" s="178"/>
    </row>
    <row r="2" spans="2:86" s="227" customFormat="1" ht="27.6" x14ac:dyDescent="0.4">
      <c r="B2" s="228"/>
      <c r="C2" s="228"/>
      <c r="D2" s="228"/>
      <c r="E2" s="228"/>
      <c r="F2" s="228"/>
      <c r="G2" s="228"/>
      <c r="H2" s="194" t="s">
        <v>12</v>
      </c>
      <c r="I2" s="229" t="s">
        <v>1</v>
      </c>
      <c r="J2" s="194" t="s">
        <v>409</v>
      </c>
      <c r="K2" s="194" t="s">
        <v>2</v>
      </c>
      <c r="L2" s="194" t="s">
        <v>4</v>
      </c>
      <c r="M2" s="193" t="s">
        <v>21</v>
      </c>
      <c r="N2" s="193" t="s">
        <v>11</v>
      </c>
      <c r="O2" s="193" t="s">
        <v>407</v>
      </c>
      <c r="P2" s="229" t="s">
        <v>406</v>
      </c>
      <c r="Q2" s="194" t="s">
        <v>408</v>
      </c>
      <c r="R2" s="194" t="s">
        <v>589</v>
      </c>
    </row>
    <row r="3" spans="2:86" ht="14.4" customHeight="1" x14ac:dyDescent="0.4">
      <c r="B3" s="88"/>
      <c r="C3" s="88"/>
      <c r="D3" s="88"/>
      <c r="E3" s="88"/>
      <c r="F3" s="88"/>
      <c r="G3" s="88"/>
      <c r="H3" s="277"/>
      <c r="I3" s="231">
        <v>42339</v>
      </c>
      <c r="J3" s="238" t="s">
        <v>5</v>
      </c>
      <c r="K3" s="248"/>
      <c r="L3" s="238" t="s">
        <v>5</v>
      </c>
      <c r="M3" s="249"/>
      <c r="N3" s="250">
        <f>+'Check Register 2015'!M173</f>
        <v>11870.469999999981</v>
      </c>
      <c r="O3" s="249">
        <f>+CkReg15_16[[#This Row],[Deposit]]</f>
        <v>11870.469999999981</v>
      </c>
      <c r="P3" s="251" t="s">
        <v>355</v>
      </c>
      <c r="Q3" s="252">
        <v>11870.47</v>
      </c>
      <c r="R3" s="253"/>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row>
    <row r="4" spans="2:86" ht="14.4" customHeight="1" x14ac:dyDescent="0.4">
      <c r="B4" s="88"/>
      <c r="C4" s="88"/>
      <c r="D4" s="88"/>
      <c r="E4" s="88"/>
      <c r="F4" s="88"/>
      <c r="G4" s="88"/>
      <c r="H4" s="277"/>
      <c r="I4" s="231">
        <v>41974</v>
      </c>
      <c r="J4" s="238" t="s">
        <v>55</v>
      </c>
      <c r="K4" s="239"/>
      <c r="L4" s="238" t="s">
        <v>55</v>
      </c>
      <c r="M4" s="249">
        <v>2000</v>
      </c>
      <c r="N4" s="250"/>
      <c r="O4" s="250">
        <f>IF(ISBLANK(CkReg15_16[[#This Row],[Withdrawal]]),O3+CkReg15_16[[#This Row],[Deposit]],O3-CkReg15_16[[#This Row],[Withdrawal]])</f>
        <v>9870.4699999999812</v>
      </c>
      <c r="P4" s="251" t="s">
        <v>558</v>
      </c>
      <c r="Q4" s="250">
        <f>IF(ISBLANK(CkReg15_16[[#This Row],[Withdrawal]]),Q3+CkReg15_16[[#This Row],[Deposit]],Q3-CkReg15_16[[#This Row],[Withdrawal]])+2000</f>
        <v>11870.47</v>
      </c>
      <c r="R4" s="253"/>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row>
    <row r="5" spans="2:86" ht="14.4" customHeight="1" x14ac:dyDescent="0.4">
      <c r="B5" s="88"/>
      <c r="C5" s="88"/>
      <c r="D5" s="88"/>
      <c r="E5" s="88"/>
      <c r="F5" s="88"/>
      <c r="G5" s="88"/>
      <c r="H5" s="277"/>
      <c r="I5" s="231">
        <v>41974</v>
      </c>
      <c r="J5" s="238" t="s">
        <v>56</v>
      </c>
      <c r="K5" s="238"/>
      <c r="L5" s="238" t="s">
        <v>56</v>
      </c>
      <c r="M5" s="249">
        <v>3000</v>
      </c>
      <c r="N5" s="250"/>
      <c r="O5" s="250">
        <f>IF(ISBLANK(CkReg15_16[[#This Row],[Withdrawal]]),O4+CkReg15_16[[#This Row],[Deposit]],O4-CkReg15_16[[#This Row],[Withdrawal]])</f>
        <v>6870.4699999999812</v>
      </c>
      <c r="P5" s="251" t="s">
        <v>558</v>
      </c>
      <c r="Q5" s="250">
        <f>IF(ISBLANK(CkReg15_16[[#This Row],[Withdrawal]]),Q4+CkReg15_16[[#This Row],[Deposit]],Q4-CkReg15_16[[#This Row],[Withdrawal]])+3000</f>
        <v>11870.47</v>
      </c>
      <c r="R5" s="253"/>
      <c r="S5" s="85"/>
      <c r="T5" s="85"/>
      <c r="U5" s="85"/>
      <c r="V5" s="85"/>
      <c r="W5" s="85"/>
      <c r="X5" s="85"/>
      <c r="Y5" s="85"/>
      <c r="Z5" s="85"/>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c r="BT5" s="85"/>
      <c r="BU5" s="85"/>
      <c r="BV5" s="85"/>
      <c r="BW5" s="85"/>
      <c r="BX5" s="85"/>
      <c r="BY5" s="85"/>
      <c r="BZ5" s="85"/>
      <c r="CA5" s="85"/>
      <c r="CB5" s="85"/>
      <c r="CC5" s="85"/>
      <c r="CD5" s="85"/>
      <c r="CE5" s="85"/>
      <c r="CF5" s="85"/>
      <c r="CG5" s="85"/>
      <c r="CH5" s="85"/>
    </row>
    <row r="6" spans="2:86" ht="14.4" customHeight="1" x14ac:dyDescent="0.4">
      <c r="B6" s="88"/>
      <c r="C6" s="88"/>
      <c r="D6" s="88"/>
      <c r="E6" s="88"/>
      <c r="F6" s="88"/>
      <c r="G6" s="88"/>
      <c r="H6" s="278">
        <v>3269</v>
      </c>
      <c r="I6" s="232">
        <v>42341</v>
      </c>
      <c r="J6" s="239" t="s">
        <v>361</v>
      </c>
      <c r="K6" s="239"/>
      <c r="L6" s="239" t="s">
        <v>44</v>
      </c>
      <c r="M6" s="254">
        <v>150.06</v>
      </c>
      <c r="N6" s="254"/>
      <c r="O6" s="250">
        <f>IF(ISBLANK(CkReg15_16[[#This Row],[Withdrawal]]),O5+CkReg15_16[[#This Row],[Deposit]],O5-CkReg15_16[[#This Row],[Withdrawal]])</f>
        <v>6720.4099999999808</v>
      </c>
      <c r="P6" s="251">
        <v>42348</v>
      </c>
      <c r="Q6" s="250">
        <f>IF(ISBLANK(CkReg15_16[[#This Row],[Withdrawal]]),Q5+CkReg15_16[[#This Row],[Deposit]],Q5-CkReg15_16[[#This Row],[Withdrawal]])</f>
        <v>11720.41</v>
      </c>
      <c r="R6" s="253"/>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D6" s="85"/>
      <c r="BE6" s="85"/>
      <c r="BF6" s="85"/>
      <c r="BG6" s="85"/>
      <c r="BH6" s="85"/>
      <c r="BI6" s="85"/>
      <c r="BJ6" s="85"/>
      <c r="BK6" s="85"/>
      <c r="BL6" s="85"/>
      <c r="BM6" s="85"/>
      <c r="BN6" s="85"/>
      <c r="BO6" s="85"/>
      <c r="BP6" s="85"/>
      <c r="BQ6" s="85"/>
      <c r="BR6" s="85"/>
      <c r="BS6" s="85"/>
      <c r="BT6" s="85"/>
      <c r="BU6" s="85"/>
      <c r="BV6" s="85"/>
      <c r="BW6" s="85"/>
      <c r="BX6" s="85"/>
      <c r="BY6" s="85"/>
      <c r="BZ6" s="85"/>
      <c r="CA6" s="85"/>
      <c r="CB6" s="85"/>
      <c r="CC6" s="85"/>
      <c r="CD6" s="85"/>
      <c r="CE6" s="85"/>
      <c r="CF6" s="85"/>
      <c r="CG6" s="85"/>
      <c r="CH6" s="85"/>
    </row>
    <row r="7" spans="2:86" ht="14.4" customHeight="1" x14ac:dyDescent="0.4">
      <c r="B7" s="88"/>
      <c r="C7" s="88"/>
      <c r="D7" s="88"/>
      <c r="E7" s="88"/>
      <c r="F7" s="88"/>
      <c r="G7" s="88"/>
      <c r="H7" s="278">
        <v>3270</v>
      </c>
      <c r="I7" s="232">
        <v>42341</v>
      </c>
      <c r="J7" s="239" t="s">
        <v>362</v>
      </c>
      <c r="K7" s="239"/>
      <c r="L7" s="239" t="s">
        <v>39</v>
      </c>
      <c r="M7" s="254">
        <v>73.67</v>
      </c>
      <c r="N7" s="254"/>
      <c r="O7" s="250">
        <f>IF(ISBLANK(CkReg15_16[[#This Row],[Withdrawal]]),O6+CkReg15_16[[#This Row],[Deposit]],O6-CkReg15_16[[#This Row],[Withdrawal]])</f>
        <v>6646.7399999999807</v>
      </c>
      <c r="P7" s="251">
        <v>42344</v>
      </c>
      <c r="Q7" s="250">
        <f>IF(ISBLANK(CkReg15_16[[#This Row],[Withdrawal]]),Q6+CkReg15_16[[#This Row],[Deposit]],Q6-CkReg15_16[[#This Row],[Withdrawal]])</f>
        <v>11646.74</v>
      </c>
      <c r="R7" s="253"/>
      <c r="S7" s="85"/>
      <c r="T7" s="85"/>
      <c r="U7" s="85"/>
      <c r="V7" s="85"/>
      <c r="W7" s="85"/>
      <c r="X7" s="85"/>
      <c r="Y7" s="85"/>
      <c r="Z7" s="85"/>
      <c r="AA7" s="85"/>
      <c r="AB7" s="85"/>
      <c r="AC7" s="85"/>
      <c r="AD7" s="85"/>
      <c r="AE7" s="85"/>
      <c r="AF7" s="85"/>
      <c r="AG7" s="85"/>
      <c r="AH7" s="85"/>
      <c r="AI7" s="85"/>
      <c r="AJ7" s="85"/>
      <c r="AK7" s="85"/>
      <c r="AL7" s="85"/>
      <c r="AM7" s="85"/>
      <c r="AN7" s="85"/>
      <c r="AO7" s="85"/>
      <c r="AP7" s="85"/>
      <c r="AQ7" s="85"/>
      <c r="AR7" s="85"/>
      <c r="AS7" s="85"/>
      <c r="AT7" s="85"/>
      <c r="AU7" s="85"/>
      <c r="AV7" s="85"/>
      <c r="AW7" s="85"/>
      <c r="AX7" s="85"/>
      <c r="AY7" s="85"/>
      <c r="AZ7" s="85"/>
      <c r="BA7" s="85"/>
      <c r="BB7" s="85"/>
      <c r="BC7" s="85"/>
      <c r="BD7" s="85"/>
      <c r="BE7" s="85"/>
      <c r="BF7" s="85"/>
      <c r="BG7" s="85"/>
      <c r="BH7" s="85"/>
      <c r="BI7" s="85"/>
      <c r="BJ7" s="85"/>
      <c r="BK7" s="85"/>
      <c r="BL7" s="85"/>
      <c r="BM7" s="85"/>
      <c r="BN7" s="85"/>
      <c r="BO7" s="85"/>
      <c r="BP7" s="85"/>
      <c r="BQ7" s="85"/>
      <c r="BR7" s="85"/>
      <c r="BS7" s="85"/>
      <c r="BT7" s="85"/>
      <c r="BU7" s="85"/>
      <c r="BV7" s="85"/>
      <c r="BW7" s="85"/>
      <c r="BX7" s="85"/>
      <c r="BY7" s="85"/>
      <c r="BZ7" s="85"/>
      <c r="CA7" s="85"/>
      <c r="CB7" s="85"/>
      <c r="CC7" s="85"/>
      <c r="CD7" s="85"/>
      <c r="CE7" s="85"/>
      <c r="CF7" s="85"/>
      <c r="CG7" s="85"/>
      <c r="CH7" s="85"/>
    </row>
    <row r="8" spans="2:86" ht="14.4" customHeight="1" x14ac:dyDescent="0.4">
      <c r="B8" s="88"/>
      <c r="C8" s="88"/>
      <c r="D8" s="88"/>
      <c r="E8" s="88"/>
      <c r="F8" s="88"/>
      <c r="G8" s="88"/>
      <c r="H8" s="278">
        <v>3271</v>
      </c>
      <c r="I8" s="232">
        <v>42343</v>
      </c>
      <c r="J8" s="239" t="s">
        <v>363</v>
      </c>
      <c r="K8" s="239"/>
      <c r="L8" s="239" t="s">
        <v>52</v>
      </c>
      <c r="M8" s="254">
        <v>14</v>
      </c>
      <c r="N8" s="254"/>
      <c r="O8" s="250">
        <f>IF(ISBLANK(CkReg15_16[[#This Row],[Withdrawal]]),O7+CkReg15_16[[#This Row],[Deposit]],O7-CkReg15_16[[#This Row],[Withdrawal]])</f>
        <v>6632.7399999999807</v>
      </c>
      <c r="P8" s="251">
        <v>42349</v>
      </c>
      <c r="Q8" s="250">
        <f>IF(ISBLANK(CkReg15_16[[#This Row],[Withdrawal]]),Q7+CkReg15_16[[#This Row],[Deposit]],Q7-CkReg15_16[[#This Row],[Withdrawal]])</f>
        <v>11632.74</v>
      </c>
      <c r="R8" s="253"/>
      <c r="S8" s="85"/>
      <c r="T8" s="85"/>
      <c r="U8" s="85"/>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5"/>
      <c r="BF8" s="85"/>
      <c r="BG8" s="85"/>
      <c r="BH8" s="85"/>
      <c r="BI8" s="85"/>
      <c r="BJ8" s="85"/>
      <c r="BK8" s="85"/>
      <c r="BL8" s="85"/>
      <c r="BM8" s="85"/>
      <c r="BN8" s="85"/>
      <c r="BO8" s="85"/>
      <c r="BP8" s="85"/>
      <c r="BQ8" s="85"/>
      <c r="BR8" s="85"/>
      <c r="BS8" s="85"/>
      <c r="BT8" s="85"/>
      <c r="BU8" s="85"/>
      <c r="BV8" s="85"/>
      <c r="BW8" s="85"/>
      <c r="BX8" s="85"/>
      <c r="BY8" s="85"/>
      <c r="BZ8" s="85"/>
      <c r="CA8" s="85"/>
      <c r="CB8" s="85"/>
      <c r="CC8" s="85"/>
      <c r="CD8" s="85"/>
      <c r="CE8" s="85"/>
      <c r="CF8" s="85"/>
      <c r="CG8" s="85"/>
      <c r="CH8" s="85"/>
    </row>
    <row r="9" spans="2:86" ht="14.4" customHeight="1" x14ac:dyDescent="0.4">
      <c r="B9" s="88"/>
      <c r="C9" s="88"/>
      <c r="D9" s="88"/>
      <c r="E9" s="88"/>
      <c r="F9" s="88"/>
      <c r="G9" s="88"/>
      <c r="H9" s="278">
        <v>3272</v>
      </c>
      <c r="I9" s="232">
        <v>42343</v>
      </c>
      <c r="J9" s="239" t="s">
        <v>131</v>
      </c>
      <c r="K9" s="239"/>
      <c r="L9" s="239" t="s">
        <v>51</v>
      </c>
      <c r="M9" s="254">
        <v>67.69</v>
      </c>
      <c r="N9" s="254"/>
      <c r="O9" s="250">
        <f>IF(ISBLANK(CkReg15_16[[#This Row],[Withdrawal]]),O8+CkReg15_16[[#This Row],[Deposit]],O8-CkReg15_16[[#This Row],[Withdrawal]])</f>
        <v>6565.0499999999811</v>
      </c>
      <c r="P9" s="251">
        <v>42360</v>
      </c>
      <c r="Q9" s="250">
        <f>IF(ISBLANK(CkReg15_16[[#This Row],[Withdrawal]]),Q8+CkReg15_16[[#This Row],[Deposit]],Q8-CkReg15_16[[#This Row],[Withdrawal]])</f>
        <v>11565.05</v>
      </c>
      <c r="R9" s="253"/>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85"/>
      <c r="BC9" s="85"/>
      <c r="BD9" s="85"/>
      <c r="BE9" s="85"/>
      <c r="BF9" s="85"/>
      <c r="BG9" s="85"/>
      <c r="BH9" s="85"/>
      <c r="BI9" s="85"/>
      <c r="BJ9" s="85"/>
      <c r="BK9" s="85"/>
      <c r="BL9" s="85"/>
      <c r="BM9" s="85"/>
      <c r="BN9" s="85"/>
      <c r="BO9" s="85"/>
      <c r="BP9" s="85"/>
      <c r="BQ9" s="85"/>
      <c r="BR9" s="85"/>
      <c r="BS9" s="85"/>
      <c r="BT9" s="85"/>
      <c r="BU9" s="85"/>
      <c r="BV9" s="85"/>
      <c r="BW9" s="85"/>
      <c r="BX9" s="85"/>
      <c r="BY9" s="85"/>
      <c r="BZ9" s="85"/>
      <c r="CA9" s="85"/>
      <c r="CB9" s="85"/>
      <c r="CC9" s="85"/>
      <c r="CD9" s="85"/>
      <c r="CE9" s="85"/>
      <c r="CF9" s="85"/>
      <c r="CG9" s="85"/>
      <c r="CH9" s="85"/>
    </row>
    <row r="10" spans="2:86" ht="14.4" customHeight="1" x14ac:dyDescent="0.4">
      <c r="B10" s="88"/>
      <c r="C10" s="88"/>
      <c r="D10" s="88"/>
      <c r="E10" s="88"/>
      <c r="F10" s="88"/>
      <c r="G10" s="88"/>
      <c r="H10" s="278">
        <v>3273</v>
      </c>
      <c r="I10" s="232">
        <v>42343</v>
      </c>
      <c r="J10" s="239" t="s">
        <v>364</v>
      </c>
      <c r="K10" s="239"/>
      <c r="L10" s="239" t="s">
        <v>34</v>
      </c>
      <c r="M10" s="254">
        <v>200</v>
      </c>
      <c r="N10" s="254"/>
      <c r="O10" s="250">
        <f>IF(ISBLANK(CkReg15_16[[#This Row],[Withdrawal]]),O9+CkReg15_16[[#This Row],[Deposit]],O9-CkReg15_16[[#This Row],[Withdrawal]])</f>
        <v>6365.0499999999811</v>
      </c>
      <c r="P10" s="251">
        <v>42373</v>
      </c>
      <c r="Q10" s="250">
        <f>IF(ISBLANK(CkReg15_16[[#This Row],[Withdrawal]]),Q9+CkReg15_16[[#This Row],[Deposit]],Q9-CkReg15_16[[#This Row],[Withdrawal]])</f>
        <v>11365.05</v>
      </c>
      <c r="R10" s="253"/>
      <c r="S10" s="85"/>
      <c r="T10" s="85"/>
      <c r="U10" s="85"/>
      <c r="V10" s="85"/>
      <c r="W10" s="85"/>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row>
    <row r="11" spans="2:86" ht="14.4" customHeight="1" thickBot="1" x14ac:dyDescent="0.45">
      <c r="B11" s="88"/>
      <c r="C11" s="88"/>
      <c r="D11" s="88"/>
      <c r="E11" s="88"/>
      <c r="F11" s="88"/>
      <c r="G11" s="88"/>
      <c r="H11" s="278">
        <v>3274</v>
      </c>
      <c r="I11" s="232">
        <v>42343</v>
      </c>
      <c r="J11" s="239" t="s">
        <v>365</v>
      </c>
      <c r="K11" s="239"/>
      <c r="L11" s="239" t="s">
        <v>43</v>
      </c>
      <c r="M11" s="254">
        <v>75</v>
      </c>
      <c r="N11" s="254"/>
      <c r="O11" s="250">
        <f>IF(ISBLANK(CkReg15_16[[#This Row],[Withdrawal]]),O10+CkReg15_16[[#This Row],[Deposit]],O10-CkReg15_16[[#This Row],[Withdrawal]])</f>
        <v>6290.0499999999811</v>
      </c>
      <c r="P11" s="251">
        <v>42359</v>
      </c>
      <c r="Q11" s="250">
        <f>IF(ISBLANK(CkReg15_16[[#This Row],[Withdrawal]]),Q10+CkReg15_16[[#This Row],[Deposit]],Q10-CkReg15_16[[#This Row],[Withdrawal]])</f>
        <v>11290.05</v>
      </c>
      <c r="R11" s="253"/>
      <c r="S11" s="85"/>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5"/>
      <c r="AX11" s="85"/>
      <c r="AY11" s="85"/>
      <c r="AZ11" s="85"/>
      <c r="BA11" s="85"/>
      <c r="BB11" s="85"/>
      <c r="BC11" s="85"/>
      <c r="BD11" s="85"/>
      <c r="BE11" s="85"/>
      <c r="BF11" s="85"/>
      <c r="BG11" s="85"/>
      <c r="BH11" s="85"/>
      <c r="BI11" s="85"/>
      <c r="BJ11" s="85"/>
      <c r="BK11" s="85"/>
      <c r="BL11" s="85"/>
      <c r="BM11" s="85"/>
      <c r="BN11" s="85"/>
      <c r="BO11" s="85"/>
      <c r="BP11" s="85"/>
      <c r="BQ11" s="85"/>
      <c r="BR11" s="85"/>
      <c r="BS11" s="85"/>
      <c r="BT11" s="85"/>
      <c r="BU11" s="85"/>
      <c r="BV11" s="85"/>
      <c r="BW11" s="85"/>
      <c r="BX11" s="85"/>
      <c r="BY11" s="85"/>
      <c r="BZ11" s="85"/>
      <c r="CA11" s="85"/>
      <c r="CB11" s="85"/>
      <c r="CC11" s="85"/>
      <c r="CD11" s="85"/>
      <c r="CE11" s="85"/>
      <c r="CF11" s="85"/>
      <c r="CG11" s="85"/>
      <c r="CH11" s="85"/>
    </row>
    <row r="12" spans="2:86" ht="14.4" customHeight="1" x14ac:dyDescent="0.4">
      <c r="B12" s="201" t="s">
        <v>439</v>
      </c>
      <c r="C12" s="202"/>
      <c r="D12" s="203" t="s">
        <v>440</v>
      </c>
      <c r="E12" s="204">
        <v>42704</v>
      </c>
      <c r="F12" s="88"/>
      <c r="G12" s="88"/>
      <c r="H12" s="278">
        <v>3275</v>
      </c>
      <c r="I12" s="232">
        <v>42353</v>
      </c>
      <c r="J12" s="239" t="s">
        <v>366</v>
      </c>
      <c r="K12" s="239"/>
      <c r="L12" s="239" t="s">
        <v>44</v>
      </c>
      <c r="M12" s="254">
        <v>110.81</v>
      </c>
      <c r="N12" s="254"/>
      <c r="O12" s="250">
        <f>IF(ISBLANK(CkReg15_16[[#This Row],[Withdrawal]]),O11+CkReg15_16[[#This Row],[Deposit]],O11-CkReg15_16[[#This Row],[Withdrawal]])</f>
        <v>6179.2399999999807</v>
      </c>
      <c r="P12" s="251">
        <v>42359</v>
      </c>
      <c r="Q12" s="250">
        <f>IF(ISBLANK(CkReg15_16[[#This Row],[Withdrawal]]),Q11+CkReg15_16[[#This Row],[Deposit]],Q11-CkReg15_16[[#This Row],[Withdrawal]])</f>
        <v>11179.24</v>
      </c>
      <c r="R12" s="253"/>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5"/>
      <c r="AU12" s="85"/>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row>
    <row r="13" spans="2:86" ht="14.4" customHeight="1" x14ac:dyDescent="0.4">
      <c r="B13" s="205"/>
      <c r="C13" s="206"/>
      <c r="D13" s="207"/>
      <c r="E13" s="208" t="s">
        <v>142</v>
      </c>
      <c r="F13" s="179"/>
      <c r="G13" s="88"/>
      <c r="H13" s="278">
        <v>3231</v>
      </c>
      <c r="I13" s="232"/>
      <c r="J13" s="239" t="s">
        <v>369</v>
      </c>
      <c r="K13" s="239"/>
      <c r="L13" s="239" t="s">
        <v>44</v>
      </c>
      <c r="M13" s="254"/>
      <c r="N13" s="254">
        <v>19.12</v>
      </c>
      <c r="O13" s="250">
        <f>IF(ISBLANK(CkReg15_16[[#This Row],[Withdrawal]]),O12+CkReg15_16[[#This Row],[Deposit]],O12-CkReg15_16[[#This Row],[Withdrawal]])</f>
        <v>6198.3599999999806</v>
      </c>
      <c r="P13" s="251">
        <v>42369</v>
      </c>
      <c r="Q13" s="250">
        <f>IF(ISBLANK(CkReg15_16[[#This Row],[Withdrawal]]),Q12+CkReg15_16[[#This Row],[Deposit]],Q12-CkReg15_16[[#This Row],[Withdrawal]])</f>
        <v>11198.36</v>
      </c>
      <c r="R13" s="253"/>
      <c r="S13" s="85"/>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c r="BT13" s="85"/>
      <c r="BU13" s="85"/>
      <c r="BV13" s="85"/>
      <c r="BW13" s="85"/>
      <c r="BX13" s="85"/>
      <c r="BY13" s="85"/>
      <c r="BZ13" s="85"/>
      <c r="CA13" s="85"/>
      <c r="CB13" s="85"/>
      <c r="CC13" s="85"/>
      <c r="CD13" s="85"/>
      <c r="CE13" s="85"/>
      <c r="CF13" s="85"/>
      <c r="CG13" s="85"/>
      <c r="CH13" s="85"/>
    </row>
    <row r="14" spans="2:86" ht="14.4" customHeight="1" x14ac:dyDescent="0.4">
      <c r="B14" s="209"/>
      <c r="C14" s="207"/>
      <c r="D14" s="207"/>
      <c r="E14" s="210"/>
      <c r="F14" s="88"/>
      <c r="G14" s="88"/>
      <c r="H14" s="278" t="s">
        <v>400</v>
      </c>
      <c r="I14" s="232">
        <v>42352</v>
      </c>
      <c r="J14" s="239" t="s">
        <v>367</v>
      </c>
      <c r="K14" s="239"/>
      <c r="L14" s="239" t="s">
        <v>44</v>
      </c>
      <c r="M14" s="254"/>
      <c r="N14" s="254">
        <v>427</v>
      </c>
      <c r="O14" s="250">
        <f>IF(ISBLANK(CkReg15_16[[#This Row],[Withdrawal]]),O13+CkReg15_16[[#This Row],[Deposit]],O13-CkReg15_16[[#This Row],[Withdrawal]])</f>
        <v>6625.3599999999806</v>
      </c>
      <c r="P14" s="251">
        <v>42352</v>
      </c>
      <c r="Q14" s="250">
        <f>IF(ISBLANK(CkReg15_16[[#This Row],[Withdrawal]]),Q13+CkReg15_16[[#This Row],[Deposit]],Q13-CkReg15_16[[#This Row],[Withdrawal]])</f>
        <v>11625.36</v>
      </c>
      <c r="R14" s="253"/>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c r="BT14" s="85"/>
      <c r="BU14" s="85"/>
      <c r="BV14" s="85"/>
      <c r="BW14" s="85"/>
      <c r="BX14" s="85"/>
      <c r="BY14" s="85"/>
      <c r="BZ14" s="85"/>
      <c r="CA14" s="85"/>
      <c r="CB14" s="85"/>
      <c r="CC14" s="85"/>
      <c r="CD14" s="85"/>
      <c r="CE14" s="85"/>
      <c r="CF14" s="85"/>
      <c r="CG14" s="85"/>
      <c r="CH14" s="85"/>
    </row>
    <row r="15" spans="2:86" ht="14.4" customHeight="1" x14ac:dyDescent="0.3">
      <c r="B15" s="211" t="s">
        <v>4</v>
      </c>
      <c r="C15" s="212" t="s">
        <v>438</v>
      </c>
      <c r="D15" s="212" t="s">
        <v>75</v>
      </c>
      <c r="E15" s="213" t="s">
        <v>462</v>
      </c>
      <c r="G15" s="91"/>
      <c r="H15" s="278" t="s">
        <v>400</v>
      </c>
      <c r="I15" s="232">
        <v>42368</v>
      </c>
      <c r="J15" s="239" t="s">
        <v>368</v>
      </c>
      <c r="K15" s="239"/>
      <c r="L15" s="239" t="s">
        <v>44</v>
      </c>
      <c r="M15" s="254"/>
      <c r="N15" s="254">
        <v>100</v>
      </c>
      <c r="O15" s="250">
        <f>IF(ISBLANK(CkReg15_16[[#This Row],[Withdrawal]]),O14+CkReg15_16[[#This Row],[Deposit]],O14-CkReg15_16[[#This Row],[Withdrawal]])</f>
        <v>6725.3599999999806</v>
      </c>
      <c r="P15" s="251">
        <v>42368</v>
      </c>
      <c r="Q15" s="250">
        <f>IF(ISBLANK(CkReg15_16[[#This Row],[Withdrawal]]),Q14+CkReg15_16[[#This Row],[Deposit]],Q14-CkReg15_16[[#This Row],[Withdrawal]])</f>
        <v>11725.36</v>
      </c>
      <c r="R15" s="253"/>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c r="BR15" s="85"/>
      <c r="BS15" s="85"/>
      <c r="BT15" s="85"/>
      <c r="BU15" s="85"/>
      <c r="BV15" s="85"/>
      <c r="BW15" s="85"/>
      <c r="BX15" s="85"/>
      <c r="BY15" s="85"/>
      <c r="BZ15" s="85"/>
      <c r="CA15" s="85"/>
      <c r="CB15" s="85"/>
      <c r="CC15" s="85"/>
      <c r="CD15" s="85"/>
      <c r="CE15" s="85"/>
      <c r="CF15" s="85"/>
      <c r="CG15" s="85"/>
      <c r="CH15" s="85"/>
    </row>
    <row r="16" spans="2:86" ht="14.4" customHeight="1" x14ac:dyDescent="0.3">
      <c r="B16" s="214" t="s">
        <v>5</v>
      </c>
      <c r="C16" s="215">
        <f>-(SUMIF(CkReg15_16[Category],"=" &amp;CategoryTable81210[[#This Row],[Category]],CkReg15_16[Withdrawal]))+(SUMIF(CkReg15_16[Category],"=" &amp;CategoryTable81210[[#This Row],[Category]],CkReg15_16[Deposit]))</f>
        <v>11870.469999999981</v>
      </c>
      <c r="D16" s="215">
        <f>+CategoryTable81210[[#This Row],[Actual to date]]</f>
        <v>11870.469999999981</v>
      </c>
      <c r="E16" s="216">
        <f>+CategoryTable81210[[#This Row],[Actual to date]]-CategoryTable81210[[#This Row],[Budget]]</f>
        <v>0</v>
      </c>
      <c r="F16" s="184"/>
      <c r="G16" s="91"/>
      <c r="H16" s="278" t="s">
        <v>400</v>
      </c>
      <c r="I16" s="232">
        <v>42368</v>
      </c>
      <c r="J16" s="239" t="s">
        <v>261</v>
      </c>
      <c r="K16" s="239"/>
      <c r="L16" s="239" t="s">
        <v>91</v>
      </c>
      <c r="M16" s="254"/>
      <c r="N16" s="254">
        <v>0.5</v>
      </c>
      <c r="O16" s="250">
        <f>IF(ISBLANK(CkReg15_16[[#This Row],[Withdrawal]]),O15+CkReg15_16[[#This Row],[Deposit]],O15-CkReg15_16[[#This Row],[Withdrawal]])</f>
        <v>6725.8599999999806</v>
      </c>
      <c r="P16" s="251">
        <v>42368</v>
      </c>
      <c r="Q16" s="250">
        <f>IF(ISBLANK(CkReg15_16[[#This Row],[Withdrawal]]),Q15+CkReg15_16[[#This Row],[Deposit]],Q15-CkReg15_16[[#This Row],[Withdrawal]])</f>
        <v>11725.86</v>
      </c>
      <c r="R16" s="253"/>
      <c r="S16" s="85"/>
      <c r="T16" s="85"/>
      <c r="U16" s="85"/>
      <c r="V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5"/>
      <c r="AZ16" s="85"/>
      <c r="BA16" s="85"/>
      <c r="BB16" s="85"/>
      <c r="BC16" s="85"/>
      <c r="BD16" s="85"/>
      <c r="BE16" s="85"/>
      <c r="BF16" s="85"/>
      <c r="BG16" s="85"/>
      <c r="BH16" s="85"/>
      <c r="BI16" s="85"/>
      <c r="BJ16" s="85"/>
      <c r="BK16" s="85"/>
      <c r="BL16" s="85"/>
      <c r="BM16" s="85"/>
      <c r="BN16" s="85"/>
      <c r="BO16" s="85"/>
      <c r="BP16" s="85"/>
      <c r="BQ16" s="85"/>
      <c r="BR16" s="85"/>
      <c r="BS16" s="85"/>
      <c r="BT16" s="85"/>
      <c r="BU16" s="85"/>
      <c r="BV16" s="85"/>
      <c r="BW16" s="85"/>
      <c r="BX16" s="85"/>
      <c r="BY16" s="85"/>
      <c r="BZ16" s="85"/>
      <c r="CA16" s="85"/>
      <c r="CB16" s="85"/>
      <c r="CC16" s="85"/>
      <c r="CD16" s="85"/>
      <c r="CE16" s="85"/>
      <c r="CF16" s="85"/>
      <c r="CG16" s="85"/>
      <c r="CH16" s="85"/>
    </row>
    <row r="17" spans="2:86" ht="14.4" customHeight="1" x14ac:dyDescent="0.3">
      <c r="B17" s="214" t="s">
        <v>32</v>
      </c>
      <c r="C17" s="215">
        <f>-(SUMIF(CkReg15_16[Category],"=" &amp;CategoryTable81210[[#This Row],[Category]],CkReg15_16[Withdrawal]))+(SUMIF(CkReg15_16[Category],"=" &amp;CategoryTable81210[[#This Row],[Category]],CkReg15_16[Deposit]))</f>
        <v>1856.7900000000002</v>
      </c>
      <c r="D17" s="215">
        <v>800</v>
      </c>
      <c r="E17" s="216">
        <f>+CategoryTable81210[[#This Row],[Actual to date]]-CategoryTable81210[[#This Row],[Budget]]</f>
        <v>1056.7900000000002</v>
      </c>
      <c r="F17" s="93"/>
      <c r="G17" s="91"/>
      <c r="H17" s="278">
        <v>3276</v>
      </c>
      <c r="I17" s="232">
        <v>42374</v>
      </c>
      <c r="J17" s="239" t="s">
        <v>122</v>
      </c>
      <c r="K17" s="239"/>
      <c r="L17" s="239" t="s">
        <v>45</v>
      </c>
      <c r="M17" s="254">
        <v>66</v>
      </c>
      <c r="N17" s="254"/>
      <c r="O17" s="250">
        <f>IF(ISBLANK(CkReg15_16[[#This Row],[Withdrawal]]),O16+CkReg15_16[[#This Row],[Deposit]],O16-CkReg15_16[[#This Row],[Withdrawal]])</f>
        <v>6659.8599999999806</v>
      </c>
      <c r="P17" s="251">
        <v>42381</v>
      </c>
      <c r="Q17" s="250">
        <f>IF(ISBLANK(CkReg15_16[[#This Row],[Withdrawal]]),Q16+CkReg15_16[[#This Row],[Deposit]],Q16-CkReg15_16[[#This Row],[Withdrawal]])</f>
        <v>11659.86</v>
      </c>
      <c r="R17" s="253"/>
      <c r="S17" s="85"/>
      <c r="T17" s="85"/>
      <c r="U17" s="85"/>
      <c r="V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c r="BT17" s="85"/>
      <c r="BU17" s="85"/>
      <c r="BV17" s="85"/>
      <c r="BW17" s="85"/>
      <c r="BX17" s="85"/>
      <c r="BY17" s="85"/>
      <c r="BZ17" s="85"/>
      <c r="CA17" s="85"/>
      <c r="CB17" s="85"/>
      <c r="CC17" s="85"/>
      <c r="CD17" s="85"/>
      <c r="CE17" s="85"/>
      <c r="CF17" s="85"/>
      <c r="CG17" s="85"/>
      <c r="CH17" s="85"/>
    </row>
    <row r="18" spans="2:86" ht="14.4" customHeight="1" x14ac:dyDescent="0.3">
      <c r="B18" s="214" t="s">
        <v>33</v>
      </c>
      <c r="C18" s="215">
        <f>-(SUMIF(CkReg15_16[Category],"=" &amp;CategoryTable81210[[#This Row],[Category]],CkReg15_16[Withdrawal]))+(SUMIF(CkReg15_16[Category],"=" &amp;CategoryTable81210[[#This Row],[Category]],CkReg15_16[Deposit]))</f>
        <v>736.65</v>
      </c>
      <c r="D18" s="215">
        <v>1000</v>
      </c>
      <c r="E18" s="216">
        <f>+CategoryTable81210[[#This Row],[Actual to date]]-CategoryTable81210[[#This Row],[Budget]]</f>
        <v>-263.35000000000002</v>
      </c>
      <c r="F18" s="95"/>
      <c r="G18" s="91"/>
      <c r="H18" s="278" t="s">
        <v>584</v>
      </c>
      <c r="I18" s="232">
        <v>42373</v>
      </c>
      <c r="J18" s="239" t="s">
        <v>401</v>
      </c>
      <c r="K18" s="239"/>
      <c r="L18" s="239" t="s">
        <v>33</v>
      </c>
      <c r="M18" s="254"/>
      <c r="N18" s="254">
        <v>100</v>
      </c>
      <c r="O18" s="250">
        <f>IF(ISBLANK(CkReg15_16[[#This Row],[Withdrawal]]),O17+CkReg15_16[[#This Row],[Deposit]],O17-CkReg15_16[[#This Row],[Withdrawal]])</f>
        <v>6759.8599999999806</v>
      </c>
      <c r="P18" s="251">
        <v>42373</v>
      </c>
      <c r="Q18" s="250">
        <f>IF(ISBLANK(CkReg15_16[[#This Row],[Withdrawal]]),Q17+CkReg15_16[[#This Row],[Deposit]],Q17-CkReg15_16[[#This Row],[Withdrawal]])</f>
        <v>11759.86</v>
      </c>
      <c r="R18" s="253"/>
      <c r="S18" s="85"/>
      <c r="T18" s="85"/>
      <c r="U18" s="85"/>
      <c r="V18" s="85"/>
      <c r="W18" s="85"/>
      <c r="X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5"/>
      <c r="BA18" s="85"/>
      <c r="BB18" s="85"/>
      <c r="BC18" s="85"/>
      <c r="BD18" s="85"/>
      <c r="BE18" s="85"/>
      <c r="BF18" s="85"/>
      <c r="BG18" s="85"/>
      <c r="BH18" s="85"/>
      <c r="BI18" s="85"/>
      <c r="BJ18" s="85"/>
      <c r="BK18" s="85"/>
      <c r="BL18" s="85"/>
      <c r="BM18" s="85"/>
      <c r="BN18" s="85"/>
      <c r="BO18" s="85"/>
      <c r="BP18" s="85"/>
      <c r="BQ18" s="85"/>
      <c r="BR18" s="85"/>
      <c r="BS18" s="85"/>
      <c r="BT18" s="85"/>
      <c r="BU18" s="85"/>
      <c r="BV18" s="85"/>
      <c r="BW18" s="85"/>
      <c r="BX18" s="85"/>
      <c r="BY18" s="85"/>
      <c r="BZ18" s="85"/>
      <c r="CA18" s="85"/>
      <c r="CB18" s="85"/>
      <c r="CC18" s="85"/>
      <c r="CD18" s="85"/>
      <c r="CE18" s="85"/>
      <c r="CF18" s="85"/>
      <c r="CG18" s="85"/>
      <c r="CH18" s="85"/>
    </row>
    <row r="19" spans="2:86" ht="14.4" customHeight="1" x14ac:dyDescent="0.3">
      <c r="B19" s="214" t="s">
        <v>34</v>
      </c>
      <c r="C19" s="215">
        <f>-(SUMIF(CkReg15_16[Category],"=" &amp;CategoryTable81210[[#This Row],[Category]],CkReg15_16[Withdrawal]))+(SUMIF(CkReg15_16[Category],"=" &amp;CategoryTable81210[[#This Row],[Category]],CkReg15_16[Deposit]))</f>
        <v>-667.27</v>
      </c>
      <c r="D19" s="215">
        <v>-1500</v>
      </c>
      <c r="E19" s="216">
        <f>+CategoryTable81210[[#This Row],[Actual to date]]-CategoryTable81210[[#This Row],[Budget]]</f>
        <v>832.73</v>
      </c>
      <c r="F19" s="95"/>
      <c r="G19" s="91"/>
      <c r="H19" s="278" t="s">
        <v>585</v>
      </c>
      <c r="I19" s="232">
        <v>42373</v>
      </c>
      <c r="J19" s="239" t="s">
        <v>403</v>
      </c>
      <c r="K19" s="239"/>
      <c r="L19" s="239" t="s">
        <v>33</v>
      </c>
      <c r="M19" s="254"/>
      <c r="N19" s="254">
        <v>105</v>
      </c>
      <c r="O19" s="250">
        <f>IF(ISBLANK(CkReg15_16[[#This Row],[Withdrawal]]),O18+CkReg15_16[[#This Row],[Deposit]],O18-CkReg15_16[[#This Row],[Withdrawal]])</f>
        <v>6864.8599999999806</v>
      </c>
      <c r="P19" s="251">
        <v>42373</v>
      </c>
      <c r="Q19" s="250">
        <f>IF(ISBLANK(CkReg15_16[[#This Row],[Withdrawal]]),Q18+CkReg15_16[[#This Row],[Deposit]],Q18-CkReg15_16[[#This Row],[Withdrawal]])</f>
        <v>11864.86</v>
      </c>
      <c r="R19" s="253"/>
      <c r="S19" s="85"/>
      <c r="T19" s="85"/>
      <c r="U19" s="85"/>
      <c r="V19" s="85"/>
      <c r="W19" s="85"/>
      <c r="X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5"/>
      <c r="BA19" s="85"/>
      <c r="BB19" s="85"/>
      <c r="BC19" s="85"/>
      <c r="BD19" s="85"/>
      <c r="BE19" s="85"/>
      <c r="BF19" s="85"/>
      <c r="BG19" s="85"/>
      <c r="BH19" s="85"/>
      <c r="BI19" s="85"/>
      <c r="BJ19" s="85"/>
      <c r="BK19" s="85"/>
      <c r="BL19" s="85"/>
      <c r="BM19" s="85"/>
      <c r="BN19" s="85"/>
      <c r="BO19" s="85"/>
      <c r="BP19" s="85"/>
      <c r="BQ19" s="85"/>
      <c r="BR19" s="85"/>
      <c r="BS19" s="85"/>
      <c r="BT19" s="85"/>
      <c r="BU19" s="85"/>
      <c r="BV19" s="85"/>
      <c r="BW19" s="85"/>
      <c r="BX19" s="85"/>
      <c r="BY19" s="85"/>
      <c r="BZ19" s="85"/>
      <c r="CA19" s="85"/>
      <c r="CB19" s="85"/>
      <c r="CC19" s="85"/>
      <c r="CD19" s="85"/>
      <c r="CE19" s="85"/>
      <c r="CF19" s="85"/>
      <c r="CG19" s="85"/>
      <c r="CH19" s="85"/>
    </row>
    <row r="20" spans="2:86" ht="14.4" customHeight="1" x14ac:dyDescent="0.3">
      <c r="B20" s="214" t="s">
        <v>37</v>
      </c>
      <c r="C20" s="215">
        <f>-(SUMIF(CkReg15_16[Category],"=" &amp;CategoryTable81210[[#This Row],[Category]],CkReg15_16[Withdrawal]))+(SUMIF(CkReg15_16[Category],"=" &amp;CategoryTable81210[[#This Row],[Category]],CkReg15_16[Deposit]))</f>
        <v>0</v>
      </c>
      <c r="D20" s="215">
        <v>-50</v>
      </c>
      <c r="E20" s="216">
        <f>+CategoryTable81210[[#This Row],[Actual to date]]-CategoryTable81210[[#This Row],[Budget]]</f>
        <v>50</v>
      </c>
      <c r="F20" s="95"/>
      <c r="G20" s="91"/>
      <c r="H20" s="278" t="s">
        <v>586</v>
      </c>
      <c r="I20" s="232">
        <v>42373</v>
      </c>
      <c r="J20" s="239" t="s">
        <v>402</v>
      </c>
      <c r="K20" s="239"/>
      <c r="L20" s="239" t="s">
        <v>33</v>
      </c>
      <c r="M20" s="254"/>
      <c r="N20" s="254">
        <v>183.9</v>
      </c>
      <c r="O20" s="250">
        <f>IF(ISBLANK(CkReg15_16[[#This Row],[Withdrawal]]),O19+CkReg15_16[[#This Row],[Deposit]],O19-CkReg15_16[[#This Row],[Withdrawal]])</f>
        <v>7048.7599999999802</v>
      </c>
      <c r="P20" s="251">
        <v>42373</v>
      </c>
      <c r="Q20" s="250">
        <f>IF(ISBLANK(CkReg15_16[[#This Row],[Withdrawal]]),Q19+CkReg15_16[[#This Row],[Deposit]],Q19-CkReg15_16[[#This Row],[Withdrawal]])</f>
        <v>12048.76</v>
      </c>
      <c r="R20" s="253"/>
      <c r="S20" s="85"/>
      <c r="T20" s="85"/>
      <c r="U20" s="85"/>
      <c r="V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85"/>
      <c r="BB20" s="85"/>
      <c r="BC20" s="85"/>
      <c r="BD20" s="85"/>
      <c r="BE20" s="85"/>
      <c r="BF20" s="85"/>
      <c r="BG20" s="85"/>
      <c r="BH20" s="85"/>
      <c r="BI20" s="85"/>
      <c r="BJ20" s="85"/>
      <c r="BK20" s="85"/>
      <c r="BL20" s="85"/>
      <c r="BM20" s="85"/>
      <c r="BN20" s="85"/>
      <c r="BO20" s="85"/>
      <c r="BP20" s="85"/>
      <c r="BQ20" s="85"/>
      <c r="BR20" s="85"/>
      <c r="BS20" s="85"/>
      <c r="BT20" s="85"/>
      <c r="BU20" s="85"/>
      <c r="BV20" s="85"/>
      <c r="BW20" s="85"/>
      <c r="BX20" s="85"/>
      <c r="BY20" s="85"/>
      <c r="BZ20" s="85"/>
      <c r="CA20" s="85"/>
      <c r="CB20" s="85"/>
      <c r="CC20" s="85"/>
      <c r="CD20" s="85"/>
      <c r="CE20" s="85"/>
      <c r="CF20" s="85"/>
      <c r="CG20" s="85"/>
      <c r="CH20" s="85"/>
    </row>
    <row r="21" spans="2:86" ht="14.4" customHeight="1" x14ac:dyDescent="0.3">
      <c r="B21" s="214" t="s">
        <v>39</v>
      </c>
      <c r="C21" s="215">
        <f>-(SUMIF(CkReg15_16[Category],"=" &amp;CategoryTable81210[[#This Row],[Category]],CkReg15_16[Withdrawal]))+(SUMIF(CkReg15_16[Category],"=" &amp;CategoryTable81210[[#This Row],[Category]],CkReg15_16[Deposit]))</f>
        <v>-309.72000000000003</v>
      </c>
      <c r="D21" s="215">
        <v>-350</v>
      </c>
      <c r="E21" s="216">
        <f>+CategoryTable81210[[#This Row],[Actual to date]]-CategoryTable81210[[#This Row],[Budget]]</f>
        <v>40.279999999999973</v>
      </c>
      <c r="F21" s="95"/>
      <c r="G21" s="91"/>
      <c r="H21" s="278" t="s">
        <v>587</v>
      </c>
      <c r="I21" s="232">
        <v>42373</v>
      </c>
      <c r="J21" s="239" t="s">
        <v>404</v>
      </c>
      <c r="K21" s="239"/>
      <c r="L21" s="239" t="s">
        <v>33</v>
      </c>
      <c r="M21" s="254"/>
      <c r="N21" s="254">
        <v>210</v>
      </c>
      <c r="O21" s="250">
        <f>IF(ISBLANK(CkReg15_16[[#This Row],[Withdrawal]]),O20+CkReg15_16[[#This Row],[Deposit]],O20-CkReg15_16[[#This Row],[Withdrawal]])</f>
        <v>7258.7599999999802</v>
      </c>
      <c r="P21" s="251">
        <v>42373</v>
      </c>
      <c r="Q21" s="250">
        <f>IF(ISBLANK(CkReg15_16[[#This Row],[Withdrawal]]),Q20+CkReg15_16[[#This Row],[Deposit]],Q20-CkReg15_16[[#This Row],[Withdrawal]])</f>
        <v>12258.76</v>
      </c>
      <c r="R21" s="253"/>
      <c r="S21" s="85"/>
      <c r="T21" s="85"/>
      <c r="U21" s="85"/>
      <c r="V21" s="85"/>
      <c r="W21" s="85"/>
      <c r="X21" s="85"/>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c r="BB21" s="85"/>
      <c r="BC21" s="85"/>
      <c r="BD21" s="85"/>
      <c r="BE21" s="85"/>
      <c r="BF21" s="85"/>
      <c r="BG21" s="85"/>
      <c r="BH21" s="85"/>
      <c r="BI21" s="85"/>
      <c r="BJ21" s="85"/>
      <c r="BK21" s="85"/>
      <c r="BL21" s="85"/>
      <c r="BM21" s="85"/>
      <c r="BN21" s="85"/>
      <c r="BO21" s="85"/>
      <c r="BP21" s="85"/>
      <c r="BQ21" s="85"/>
      <c r="BR21" s="85"/>
      <c r="BS21" s="85"/>
      <c r="BT21" s="85"/>
      <c r="BU21" s="85"/>
      <c r="BV21" s="85"/>
      <c r="BW21" s="85"/>
      <c r="BX21" s="85"/>
      <c r="BY21" s="85"/>
      <c r="BZ21" s="85"/>
      <c r="CA21" s="85"/>
      <c r="CB21" s="85"/>
      <c r="CC21" s="85"/>
      <c r="CD21" s="85"/>
      <c r="CE21" s="85"/>
      <c r="CF21" s="85"/>
      <c r="CG21" s="85"/>
      <c r="CH21" s="85"/>
    </row>
    <row r="22" spans="2:86" ht="14.4" customHeight="1" x14ac:dyDescent="0.3">
      <c r="B22" s="214" t="s">
        <v>40</v>
      </c>
      <c r="C22" s="215">
        <f>-(SUMIF(CkReg15_16[Category],"=" &amp;CategoryTable81210[[#This Row],[Category]],CkReg15_16[Withdrawal]))+(SUMIF(CkReg15_16[Category],"=" &amp;CategoryTable81210[[#This Row],[Category]],CkReg15_16[Deposit]))</f>
        <v>0</v>
      </c>
      <c r="D22" s="215">
        <v>-150</v>
      </c>
      <c r="E22" s="216">
        <f>+CategoryTable81210[[#This Row],[Actual to date]]-CategoryTable81210[[#This Row],[Budget]]</f>
        <v>150</v>
      </c>
      <c r="F22" s="95"/>
      <c r="G22" s="91"/>
      <c r="H22" s="278" t="s">
        <v>405</v>
      </c>
      <c r="I22" s="232">
        <v>42398</v>
      </c>
      <c r="J22" s="239" t="s">
        <v>261</v>
      </c>
      <c r="K22" s="239"/>
      <c r="L22" s="239" t="s">
        <v>91</v>
      </c>
      <c r="M22" s="254"/>
      <c r="N22" s="254">
        <v>0.51</v>
      </c>
      <c r="O22" s="250">
        <f>IF(ISBLANK(CkReg15_16[[#This Row],[Withdrawal]]),O21+CkReg15_16[[#This Row],[Deposit]],O21-CkReg15_16[[#This Row],[Withdrawal]])</f>
        <v>7259.2699999999804</v>
      </c>
      <c r="P22" s="251">
        <v>42398</v>
      </c>
      <c r="Q22" s="250">
        <f>IF(ISBLANK(CkReg15_16[[#This Row],[Withdrawal]]),Q21+CkReg15_16[[#This Row],[Deposit]],Q21-CkReg15_16[[#This Row],[Withdrawal]])</f>
        <v>12259.27</v>
      </c>
      <c r="R22" s="253"/>
      <c r="S22" s="85"/>
      <c r="T22" s="85"/>
      <c r="U22" s="85"/>
      <c r="V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c r="BA22" s="85"/>
      <c r="BB22" s="85"/>
      <c r="BC22" s="85"/>
      <c r="BD22" s="85"/>
      <c r="BE22" s="85"/>
      <c r="BF22" s="85"/>
      <c r="BG22" s="85"/>
      <c r="BH22" s="85"/>
      <c r="BI22" s="85"/>
      <c r="BJ22" s="85"/>
      <c r="BK22" s="85"/>
      <c r="BL22" s="85"/>
      <c r="BM22" s="85"/>
      <c r="BN22" s="85"/>
      <c r="BO22" s="85"/>
      <c r="BP22" s="85"/>
      <c r="BQ22" s="85"/>
      <c r="BR22" s="85"/>
      <c r="BS22" s="85"/>
      <c r="BT22" s="85"/>
      <c r="BU22" s="85"/>
      <c r="BV22" s="85"/>
      <c r="BW22" s="85"/>
      <c r="BX22" s="85"/>
      <c r="BY22" s="85"/>
      <c r="BZ22" s="85"/>
      <c r="CA22" s="85"/>
      <c r="CB22" s="85"/>
      <c r="CC22" s="85"/>
      <c r="CD22" s="85"/>
      <c r="CE22" s="85"/>
      <c r="CF22" s="85"/>
      <c r="CG22" s="85"/>
      <c r="CH22" s="85"/>
    </row>
    <row r="23" spans="2:86" ht="14.4" customHeight="1" x14ac:dyDescent="0.3">
      <c r="B23" s="214" t="s">
        <v>91</v>
      </c>
      <c r="C23" s="215">
        <f>-(SUMIF(CkReg15_16[Category],"=" &amp;CategoryTable81210[[#This Row],[Category]],CkReg15_16[Withdrawal]))+(SUMIF(CkReg15_16[Category],"=" &amp;CategoryTable81210[[#This Row],[Category]],CkReg15_16[Deposit]))</f>
        <v>6.61</v>
      </c>
      <c r="D23" s="215">
        <v>0</v>
      </c>
      <c r="E23" s="216">
        <f>+CategoryTable81210[[#This Row],[Actual to date]]-CategoryTable81210[[#This Row],[Budget]]</f>
        <v>6.61</v>
      </c>
      <c r="F23" s="95"/>
      <c r="H23" s="278" t="s">
        <v>399</v>
      </c>
      <c r="I23" s="232">
        <v>42406</v>
      </c>
      <c r="J23" s="240" t="s">
        <v>392</v>
      </c>
      <c r="K23" s="240"/>
      <c r="L23" s="239" t="s">
        <v>32</v>
      </c>
      <c r="M23" s="255"/>
      <c r="N23" s="255">
        <v>20</v>
      </c>
      <c r="O23" s="250">
        <f>IF(ISBLANK(CkReg15_16[[#This Row],[Withdrawal]]),O22+CkReg15_16[[#This Row],[Deposit]],O22-CkReg15_16[[#This Row],[Withdrawal]])</f>
        <v>7279.2699999999804</v>
      </c>
      <c r="P23" s="251">
        <v>42408</v>
      </c>
      <c r="Q23" s="250">
        <f>IF(ISBLANK(CkReg15_16[[#This Row],[Withdrawal]]),Q22+CkReg15_16[[#This Row],[Deposit]],Q22-CkReg15_16[[#This Row],[Withdrawal]])</f>
        <v>12279.27</v>
      </c>
      <c r="R23" s="253"/>
      <c r="S23" s="85"/>
      <c r="T23" s="85"/>
      <c r="U23" s="85"/>
      <c r="V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85"/>
      <c r="BP23" s="85"/>
      <c r="BQ23" s="85"/>
      <c r="BR23" s="85"/>
      <c r="BS23" s="85"/>
      <c r="BT23" s="85"/>
      <c r="BU23" s="85"/>
      <c r="BV23" s="85"/>
      <c r="BW23" s="85"/>
      <c r="BX23" s="85"/>
      <c r="BY23" s="85"/>
      <c r="BZ23" s="85"/>
      <c r="CA23" s="85"/>
      <c r="CB23" s="85"/>
      <c r="CC23" s="85"/>
      <c r="CD23" s="85"/>
      <c r="CE23" s="85"/>
      <c r="CF23" s="85"/>
      <c r="CG23" s="85"/>
      <c r="CH23" s="85"/>
    </row>
    <row r="24" spans="2:86" ht="14.4" customHeight="1" x14ac:dyDescent="0.3">
      <c r="B24" s="214" t="s">
        <v>43</v>
      </c>
      <c r="C24" s="215">
        <f>-(SUMIF(CkReg15_16[Category],"=" &amp;CategoryTable81210[[#This Row],[Category]],CkReg15_16[Withdrawal]))+(SUMIF(CkReg15_16[Category],"=" &amp;CategoryTable81210[[#This Row],[Category]],CkReg15_16[Deposit]))</f>
        <v>-525</v>
      </c>
      <c r="D24" s="215">
        <v>-450</v>
      </c>
      <c r="E24" s="216">
        <f>+CategoryTable81210[[#This Row],[Actual to date]]-CategoryTable81210[[#This Row],[Budget]]</f>
        <v>-75</v>
      </c>
      <c r="F24" s="95"/>
      <c r="G24" s="96"/>
      <c r="H24" s="278" t="s">
        <v>577</v>
      </c>
      <c r="I24" s="232">
        <v>42406</v>
      </c>
      <c r="J24" s="239" t="s">
        <v>393</v>
      </c>
      <c r="K24" s="239"/>
      <c r="L24" s="239" t="s">
        <v>32</v>
      </c>
      <c r="M24" s="254"/>
      <c r="N24" s="254">
        <v>55</v>
      </c>
      <c r="O24" s="250">
        <f>IF(ISBLANK(CkReg15_16[[#This Row],[Withdrawal]]),O23+CkReg15_16[[#This Row],[Deposit]],O23-CkReg15_16[[#This Row],[Withdrawal]])</f>
        <v>7334.2699999999804</v>
      </c>
      <c r="P24" s="251">
        <v>42408</v>
      </c>
      <c r="Q24" s="250">
        <f>IF(ISBLANK(CkReg15_16[[#This Row],[Withdrawal]]),Q23+CkReg15_16[[#This Row],[Deposit]],Q23-CkReg15_16[[#This Row],[Withdrawal]])</f>
        <v>12334.27</v>
      </c>
      <c r="R24" s="253"/>
      <c r="S24" s="85"/>
      <c r="T24" s="85"/>
      <c r="U24" s="85"/>
      <c r="V24" s="85"/>
      <c r="AA24" s="85"/>
      <c r="AB24" s="85"/>
      <c r="AC24" s="85"/>
      <c r="AD24" s="85"/>
      <c r="AE24" s="85"/>
      <c r="AF24" s="85"/>
      <c r="AG24" s="85"/>
      <c r="AH24" s="85"/>
      <c r="AI24" s="85"/>
      <c r="AJ24" s="85"/>
      <c r="AK24" s="85"/>
      <c r="AL24" s="85"/>
      <c r="AM24" s="85"/>
      <c r="AN24" s="85"/>
      <c r="AO24" s="85"/>
      <c r="AP24" s="85"/>
      <c r="AQ24" s="85"/>
      <c r="AR24" s="85"/>
      <c r="AS24" s="85"/>
      <c r="AT24" s="85"/>
      <c r="AU24" s="85"/>
      <c r="AV24" s="85"/>
      <c r="AW24" s="85"/>
      <c r="AX24" s="85"/>
      <c r="AY24" s="85"/>
      <c r="AZ24" s="85"/>
      <c r="BA24" s="85"/>
      <c r="BB24" s="85"/>
      <c r="BC24" s="85"/>
      <c r="BD24" s="85"/>
      <c r="BE24" s="85"/>
      <c r="BF24" s="85"/>
      <c r="BG24" s="85"/>
      <c r="BH24" s="85"/>
      <c r="BI24" s="85"/>
      <c r="BJ24" s="85"/>
      <c r="BK24" s="85"/>
      <c r="BL24" s="85"/>
      <c r="BM24" s="85"/>
      <c r="BN24" s="85"/>
      <c r="BO24" s="85"/>
      <c r="BP24" s="85"/>
      <c r="BQ24" s="85"/>
      <c r="BR24" s="85"/>
      <c r="BS24" s="85"/>
      <c r="BT24" s="85"/>
      <c r="BU24" s="85"/>
      <c r="BV24" s="85"/>
      <c r="BW24" s="85"/>
      <c r="BX24" s="85"/>
      <c r="BY24" s="85"/>
      <c r="BZ24" s="85"/>
      <c r="CA24" s="85"/>
      <c r="CB24" s="85"/>
      <c r="CC24" s="85"/>
      <c r="CD24" s="85"/>
      <c r="CE24" s="85"/>
      <c r="CF24" s="85"/>
      <c r="CG24" s="85"/>
      <c r="CH24" s="85"/>
    </row>
    <row r="25" spans="2:86" s="96" customFormat="1" ht="14.4" customHeight="1" x14ac:dyDescent="0.3">
      <c r="B25" s="214" t="s">
        <v>44</v>
      </c>
      <c r="C25" s="215">
        <f>-(SUMIF(CkReg15_16[Category],"=" &amp;CategoryTable81210[[#This Row],[Category]],CkReg15_16[Withdrawal]))+(SUMIF(CkReg15_16[Category],"=" &amp;CategoryTable81210[[#This Row],[Category]],CkReg15_16[Deposit]))</f>
        <v>285.25</v>
      </c>
      <c r="D25" s="215">
        <v>-100</v>
      </c>
      <c r="E25" s="216">
        <f>+CategoryTable81210[[#This Row],[Actual to date]]-CategoryTable81210[[#This Row],[Budget]]</f>
        <v>385.25</v>
      </c>
      <c r="F25" s="95"/>
      <c r="H25" s="278" t="s">
        <v>578</v>
      </c>
      <c r="I25" s="232">
        <v>42406</v>
      </c>
      <c r="J25" s="239" t="s">
        <v>394</v>
      </c>
      <c r="K25" s="239"/>
      <c r="L25" s="239" t="s">
        <v>32</v>
      </c>
      <c r="M25" s="254"/>
      <c r="N25" s="254">
        <v>60</v>
      </c>
      <c r="O25" s="250">
        <f>IF(ISBLANK(CkReg15_16[[#This Row],[Withdrawal]]),O24+CkReg15_16[[#This Row],[Deposit]],O24-CkReg15_16[[#This Row],[Withdrawal]])</f>
        <v>7394.2699999999804</v>
      </c>
      <c r="P25" s="251">
        <v>42408</v>
      </c>
      <c r="Q25" s="250">
        <f>IF(ISBLANK(CkReg15_16[[#This Row],[Withdrawal]]),Q24+CkReg15_16[[#This Row],[Deposit]],Q24-CkReg15_16[[#This Row],[Withdrawal]])</f>
        <v>12394.27</v>
      </c>
      <c r="R25" s="256"/>
      <c r="S25" s="85"/>
      <c r="T25" s="85"/>
      <c r="U25" s="85"/>
      <c r="V25" s="85"/>
    </row>
    <row r="26" spans="2:86" s="96" customFormat="1" ht="14.4" customHeight="1" x14ac:dyDescent="0.3">
      <c r="B26" s="214" t="s">
        <v>45</v>
      </c>
      <c r="C26" s="215">
        <f>-(SUMIF(CkReg15_16[Category],"=" &amp;CategoryTable81210[[#This Row],[Category]],CkReg15_16[Withdrawal]))+(SUMIF(CkReg15_16[Category],"=" &amp;CategoryTable81210[[#This Row],[Category]],CkReg15_16[Deposit]))</f>
        <v>-66</v>
      </c>
      <c r="D26" s="215">
        <v>-85</v>
      </c>
      <c r="E26" s="216">
        <f>+CategoryTable81210[[#This Row],[Actual to date]]-CategoryTable81210[[#This Row],[Budget]]</f>
        <v>19</v>
      </c>
      <c r="F26" s="95"/>
      <c r="H26" s="278" t="s">
        <v>579</v>
      </c>
      <c r="I26" s="232">
        <v>42406</v>
      </c>
      <c r="J26" s="239" t="s">
        <v>395</v>
      </c>
      <c r="K26" s="239"/>
      <c r="L26" s="239" t="s">
        <v>32</v>
      </c>
      <c r="M26" s="254"/>
      <c r="N26" s="254">
        <v>100</v>
      </c>
      <c r="O26" s="250">
        <f>IF(ISBLANK(CkReg15_16[[#This Row],[Withdrawal]]),O25+CkReg15_16[[#This Row],[Deposit]],O25-CkReg15_16[[#This Row],[Withdrawal]])</f>
        <v>7494.2699999999804</v>
      </c>
      <c r="P26" s="251">
        <v>42408</v>
      </c>
      <c r="Q26" s="250">
        <f>IF(ISBLANK(CkReg15_16[[#This Row],[Withdrawal]]),Q25+CkReg15_16[[#This Row],[Deposit]],Q25-CkReg15_16[[#This Row],[Withdrawal]])</f>
        <v>12494.27</v>
      </c>
      <c r="R26" s="256"/>
      <c r="S26" s="85"/>
      <c r="T26" s="85"/>
      <c r="U26" s="85"/>
      <c r="V26" s="85"/>
    </row>
    <row r="27" spans="2:86" s="96" customFormat="1" ht="14.4" customHeight="1" x14ac:dyDescent="0.3">
      <c r="B27" s="214" t="s">
        <v>46</v>
      </c>
      <c r="C27" s="215">
        <f>-(SUMIF(CkReg15_16[Category],"=" &amp;CategoryTable81210[[#This Row],[Category]],CkReg15_16[Withdrawal]))+(SUMIF(CkReg15_16[Category],"=" &amp;CategoryTable81210[[#This Row],[Category]],CkReg15_16[Deposit]))</f>
        <v>-913</v>
      </c>
      <c r="D27" s="215">
        <v>-900</v>
      </c>
      <c r="E27" s="216">
        <f>+CategoryTable81210[[#This Row],[Actual to date]]-CategoryTable81210[[#This Row],[Budget]]</f>
        <v>-13</v>
      </c>
      <c r="F27" s="95"/>
      <c r="H27" s="278" t="s">
        <v>580</v>
      </c>
      <c r="I27" s="232">
        <v>42406</v>
      </c>
      <c r="J27" s="239" t="s">
        <v>396</v>
      </c>
      <c r="K27" s="239"/>
      <c r="L27" s="239" t="s">
        <v>32</v>
      </c>
      <c r="M27" s="254"/>
      <c r="N27" s="254">
        <v>50</v>
      </c>
      <c r="O27" s="250">
        <f>IF(ISBLANK(CkReg15_16[[#This Row],[Withdrawal]]),O26+CkReg15_16[[#This Row],[Deposit]],O26-CkReg15_16[[#This Row],[Withdrawal]])</f>
        <v>7544.2699999999804</v>
      </c>
      <c r="P27" s="251">
        <v>42408</v>
      </c>
      <c r="Q27" s="250">
        <f>IF(ISBLANK(CkReg15_16[[#This Row],[Withdrawal]]),Q26+CkReg15_16[[#This Row],[Deposit]],Q26-CkReg15_16[[#This Row],[Withdrawal]])</f>
        <v>12544.27</v>
      </c>
      <c r="R27" s="256"/>
      <c r="S27" s="85"/>
      <c r="T27" s="85"/>
      <c r="U27" s="85"/>
      <c r="V27" s="85"/>
      <c r="W27" s="85"/>
      <c r="X27" s="85"/>
      <c r="Z27" s="85"/>
    </row>
    <row r="28" spans="2:86" s="96" customFormat="1" ht="14.4" customHeight="1" x14ac:dyDescent="0.3">
      <c r="B28" s="214" t="s">
        <v>47</v>
      </c>
      <c r="C28" s="215">
        <f>-(SUMIF(CkReg15_16[Category],"=" &amp;CategoryTable81210[[#This Row],[Category]],CkReg15_16[Withdrawal]))+(SUMIF(CkReg15_16[Category],"=" &amp;CategoryTable81210[[#This Row],[Category]],CkReg15_16[Deposit]))</f>
        <v>-14.06</v>
      </c>
      <c r="D28" s="215">
        <v>-50</v>
      </c>
      <c r="E28" s="216">
        <f>+CategoryTable81210[[#This Row],[Actual to date]]-CategoryTable81210[[#This Row],[Budget]]</f>
        <v>35.94</v>
      </c>
      <c r="F28" s="95"/>
      <c r="H28" s="278" t="s">
        <v>581</v>
      </c>
      <c r="I28" s="232">
        <v>42406</v>
      </c>
      <c r="J28" s="239" t="s">
        <v>397</v>
      </c>
      <c r="K28" s="239"/>
      <c r="L28" s="239" t="s">
        <v>32</v>
      </c>
      <c r="M28" s="254"/>
      <c r="N28" s="254">
        <v>30</v>
      </c>
      <c r="O28" s="250">
        <f>IF(ISBLANK(CkReg15_16[[#This Row],[Withdrawal]]),O27+CkReg15_16[[#This Row],[Deposit]],O27-CkReg15_16[[#This Row],[Withdrawal]])</f>
        <v>7574.2699999999804</v>
      </c>
      <c r="P28" s="251">
        <v>42408</v>
      </c>
      <c r="Q28" s="250">
        <f>IF(ISBLANK(CkReg15_16[[#This Row],[Withdrawal]]),Q27+CkReg15_16[[#This Row],[Deposit]],Q27-CkReg15_16[[#This Row],[Withdrawal]])</f>
        <v>12574.27</v>
      </c>
      <c r="R28" s="256"/>
      <c r="S28" s="85"/>
      <c r="T28" s="85"/>
      <c r="U28" s="85"/>
      <c r="V28" s="85"/>
      <c r="W28" s="85"/>
      <c r="X28" s="85"/>
      <c r="Z28" s="85"/>
    </row>
    <row r="29" spans="2:86" s="96" customFormat="1" ht="14.4" customHeight="1" x14ac:dyDescent="0.3">
      <c r="B29" s="214" t="s">
        <v>49</v>
      </c>
      <c r="C29" s="215">
        <f>-(SUMIF(CkReg15_16[Category],"=" &amp;CategoryTable81210[[#This Row],[Category]],CkReg15_16[Withdrawal]))+(SUMIF(CkReg15_16[Category],"=" &amp;CategoryTable81210[[#This Row],[Category]],CkReg15_16[Deposit]))</f>
        <v>-50</v>
      </c>
      <c r="D29" s="215">
        <v>-50</v>
      </c>
      <c r="E29" s="216">
        <f>+CategoryTable81210[[#This Row],[Actual to date]]-CategoryTable81210[[#This Row],[Budget]]</f>
        <v>0</v>
      </c>
      <c r="F29" s="95"/>
      <c r="H29" s="278" t="s">
        <v>582</v>
      </c>
      <c r="I29" s="232">
        <v>42406</v>
      </c>
      <c r="J29" s="239" t="s">
        <v>398</v>
      </c>
      <c r="K29" s="239"/>
      <c r="L29" s="239" t="s">
        <v>32</v>
      </c>
      <c r="M29" s="255"/>
      <c r="N29" s="255">
        <v>40</v>
      </c>
      <c r="O29" s="250">
        <f>IF(ISBLANK(CkReg15_16[[#This Row],[Withdrawal]]),O28+CkReg15_16[[#This Row],[Deposit]],O28-CkReg15_16[[#This Row],[Withdrawal]])</f>
        <v>7614.2699999999804</v>
      </c>
      <c r="P29" s="251">
        <v>42408</v>
      </c>
      <c r="Q29" s="250">
        <f>IF(ISBLANK(CkReg15_16[[#This Row],[Withdrawal]]),Q28+CkReg15_16[[#This Row],[Deposit]],Q28-CkReg15_16[[#This Row],[Withdrawal]])</f>
        <v>12614.27</v>
      </c>
      <c r="R29" s="256"/>
      <c r="S29" s="85"/>
      <c r="T29" s="85"/>
      <c r="U29" s="85"/>
      <c r="V29" s="85"/>
      <c r="W29" s="85"/>
      <c r="X29" s="85"/>
      <c r="Z29" s="85"/>
    </row>
    <row r="30" spans="2:86" s="96" customFormat="1" ht="14.4" customHeight="1" x14ac:dyDescent="0.3">
      <c r="B30" s="214" t="s">
        <v>50</v>
      </c>
      <c r="C30" s="215">
        <f>-(SUMIF(CkReg15_16[Category],"=" &amp;CategoryTable81210[[#This Row],[Category]],CkReg15_16[Withdrawal]))+(SUMIF(CkReg15_16[Category],"=" &amp;CategoryTable81210[[#This Row],[Category]],CkReg15_16[Deposit]))</f>
        <v>0</v>
      </c>
      <c r="D30" s="215">
        <v>-25</v>
      </c>
      <c r="E30" s="216">
        <f>+CategoryTable81210[[#This Row],[Actual to date]]-CategoryTable81210[[#This Row],[Budget]]</f>
        <v>25</v>
      </c>
      <c r="F30" s="95"/>
      <c r="H30" s="278" t="s">
        <v>583</v>
      </c>
      <c r="I30" s="232">
        <v>42406</v>
      </c>
      <c r="J30" s="239" t="s">
        <v>303</v>
      </c>
      <c r="K30" s="239"/>
      <c r="L30" s="239" t="s">
        <v>32</v>
      </c>
      <c r="M30" s="254"/>
      <c r="N30" s="254">
        <v>100.13</v>
      </c>
      <c r="O30" s="250">
        <f>IF(ISBLANK(CkReg15_16[[#This Row],[Withdrawal]]),O29+CkReg15_16[[#This Row],[Deposit]],O29-CkReg15_16[[#This Row],[Withdrawal]])</f>
        <v>7714.3999999999805</v>
      </c>
      <c r="P30" s="251">
        <v>42408</v>
      </c>
      <c r="Q30" s="250">
        <f>IF(ISBLANK(CkReg15_16[[#This Row],[Withdrawal]]),Q29+CkReg15_16[[#This Row],[Deposit]],Q29-CkReg15_16[[#This Row],[Withdrawal]])</f>
        <v>12714.4</v>
      </c>
      <c r="R30" s="256"/>
      <c r="V30" s="85"/>
      <c r="W30" s="85"/>
      <c r="X30" s="85"/>
      <c r="Z30" s="85"/>
    </row>
    <row r="31" spans="2:86" s="96" customFormat="1" ht="14.4" customHeight="1" x14ac:dyDescent="0.3">
      <c r="B31" s="214" t="s">
        <v>51</v>
      </c>
      <c r="C31" s="215">
        <f>-(SUMIF(CkReg15_16[Category],"=" &amp;CategoryTable81210[[#This Row],[Category]],CkReg15_16[Withdrawal]))+(SUMIF(CkReg15_16[Category],"=" &amp;CategoryTable81210[[#This Row],[Category]],CkReg15_16[Deposit]))</f>
        <v>-387.69</v>
      </c>
      <c r="D31" s="215">
        <v>-450</v>
      </c>
      <c r="E31" s="216">
        <f>+CategoryTable81210[[#This Row],[Actual to date]]-CategoryTable81210[[#This Row],[Budget]]</f>
        <v>62.31</v>
      </c>
      <c r="F31" s="95"/>
      <c r="H31" s="278">
        <v>3277</v>
      </c>
      <c r="I31" s="232">
        <v>42406</v>
      </c>
      <c r="J31" s="239" t="s">
        <v>92</v>
      </c>
      <c r="K31" s="239" t="s">
        <v>413</v>
      </c>
      <c r="L31" s="239" t="s">
        <v>43</v>
      </c>
      <c r="M31" s="255">
        <v>75</v>
      </c>
      <c r="N31" s="250"/>
      <c r="O31" s="250">
        <f>IF(ISBLANK(CkReg15_16[[#This Row],[Withdrawal]]),O30+CkReg15_16[[#This Row],[Deposit]],O30-CkReg15_16[[#This Row],[Withdrawal]])</f>
        <v>7639.3999999999805</v>
      </c>
      <c r="P31" s="251">
        <v>42423</v>
      </c>
      <c r="Q31" s="250">
        <f>IF(ISBLANK(CkReg15_16[[#This Row],[Withdrawal]]),Q30+CkReg15_16[[#This Row],[Deposit]],Q30-CkReg15_16[[#This Row],[Withdrawal]])</f>
        <v>12639.4</v>
      </c>
      <c r="R31" s="256"/>
      <c r="V31" s="85"/>
      <c r="W31" s="85"/>
      <c r="X31" s="85"/>
      <c r="Z31" s="85"/>
    </row>
    <row r="32" spans="2:86" s="96" customFormat="1" ht="14.4" customHeight="1" x14ac:dyDescent="0.3">
      <c r="B32" s="214" t="s">
        <v>52</v>
      </c>
      <c r="C32" s="215">
        <f>-(SUMIF(CkReg15_16[Category],"=" &amp;CategoryTable81210[[#This Row],[Category]],CkReg15_16[Withdrawal]))+(SUMIF(CkReg15_16[Category],"=" &amp;CategoryTable81210[[#This Row],[Category]],CkReg15_16[Deposit]))</f>
        <v>-89.75</v>
      </c>
      <c r="D32" s="215">
        <v>-100</v>
      </c>
      <c r="E32" s="216">
        <f>+CategoryTable81210[[#This Row],[Actual to date]]-CategoryTable81210[[#This Row],[Budget]]</f>
        <v>10.25</v>
      </c>
      <c r="F32" s="95"/>
      <c r="H32" s="278">
        <v>3278</v>
      </c>
      <c r="I32" s="232">
        <v>42406</v>
      </c>
      <c r="J32" s="240" t="s">
        <v>92</v>
      </c>
      <c r="K32" s="240" t="s">
        <v>413</v>
      </c>
      <c r="L32" s="239" t="s">
        <v>74</v>
      </c>
      <c r="M32" s="255">
        <v>25</v>
      </c>
      <c r="N32" s="250"/>
      <c r="O32" s="250">
        <f>IF(ISBLANK(CkReg15_16[[#This Row],[Withdrawal]]),O31+CkReg15_16[[#This Row],[Deposit]],O31-CkReg15_16[[#This Row],[Withdrawal]])</f>
        <v>7614.3999999999805</v>
      </c>
      <c r="P32" s="251">
        <v>42423</v>
      </c>
      <c r="Q32" s="250">
        <f>IF(ISBLANK(CkReg15_16[[#This Row],[Withdrawal]]),Q31+CkReg15_16[[#This Row],[Deposit]],Q31-CkReg15_16[[#This Row],[Withdrawal]])</f>
        <v>12614.4</v>
      </c>
      <c r="R32" s="256"/>
      <c r="V32" s="85"/>
    </row>
    <row r="33" spans="2:26" s="96" customFormat="1" ht="14.4" customHeight="1" x14ac:dyDescent="0.3">
      <c r="B33" s="214" t="s">
        <v>53</v>
      </c>
      <c r="C33" s="215">
        <f>-(SUMIF(CkReg15_16[Category],"=" &amp;CategoryTable81210[[#This Row],[Category]],CkReg15_16[Withdrawal]))+(SUMIF(CkReg15_16[Category],"=" &amp;CategoryTable81210[[#This Row],[Category]],CkReg15_16[Deposit]))</f>
        <v>0</v>
      </c>
      <c r="D33" s="215">
        <v>-25</v>
      </c>
      <c r="E33" s="216">
        <f>+CategoryTable81210[[#This Row],[Actual to date]]-CategoryTable81210[[#This Row],[Budget]]</f>
        <v>25</v>
      </c>
      <c r="F33" s="95"/>
      <c r="H33" s="278">
        <v>3279</v>
      </c>
      <c r="I33" s="232">
        <v>42406</v>
      </c>
      <c r="J33" s="239" t="s">
        <v>363</v>
      </c>
      <c r="K33" s="239" t="s">
        <v>412</v>
      </c>
      <c r="L33" s="239" t="s">
        <v>52</v>
      </c>
      <c r="M33" s="255">
        <v>20.8</v>
      </c>
      <c r="N33" s="250"/>
      <c r="O33" s="250">
        <f>IF(ISBLANK(CkReg15_16[[#This Row],[Withdrawal]]),O32+CkReg15_16[[#This Row],[Deposit]],O32-CkReg15_16[[#This Row],[Withdrawal]])</f>
        <v>7593.5999999999804</v>
      </c>
      <c r="P33" s="251">
        <v>42410</v>
      </c>
      <c r="Q33" s="250">
        <f>IF(ISBLANK(CkReg15_16[[#This Row],[Withdrawal]]),Q32+CkReg15_16[[#This Row],[Deposit]],Q32-CkReg15_16[[#This Row],[Withdrawal]])</f>
        <v>12593.6</v>
      </c>
      <c r="R33" s="256"/>
      <c r="V33" s="85"/>
      <c r="W33" s="85"/>
      <c r="X33" s="85"/>
      <c r="Z33" s="85"/>
    </row>
    <row r="34" spans="2:26" s="96" customFormat="1" ht="14.4" customHeight="1" x14ac:dyDescent="0.3">
      <c r="B34" s="214" t="s">
        <v>54</v>
      </c>
      <c r="C34" s="215">
        <f>-(SUMIF(CkReg15_16[Category],"=" &amp;CategoryTable81210[[#This Row],[Category]],CkReg15_16[Withdrawal]))+(SUMIF(CkReg15_16[Category],"=" &amp;CategoryTable81210[[#This Row],[Category]],CkReg15_16[Deposit]))</f>
        <v>0</v>
      </c>
      <c r="D34" s="215">
        <v>-25</v>
      </c>
      <c r="E34" s="216">
        <f>+CategoryTable81210[[#This Row],[Actual to date]]-CategoryTable81210[[#This Row],[Budget]]</f>
        <v>25</v>
      </c>
      <c r="F34" s="95"/>
      <c r="H34" s="278">
        <v>3280</v>
      </c>
      <c r="I34" s="232">
        <v>42406</v>
      </c>
      <c r="J34" s="239" t="s">
        <v>131</v>
      </c>
      <c r="K34" s="239" t="s">
        <v>411</v>
      </c>
      <c r="L34" s="239" t="s">
        <v>51</v>
      </c>
      <c r="M34" s="255">
        <v>80</v>
      </c>
      <c r="N34" s="250"/>
      <c r="O34" s="250">
        <f>IF(ISBLANK(CkReg15_16[[#This Row],[Withdrawal]]),O33+CkReg15_16[[#This Row],[Deposit]],O33-CkReg15_16[[#This Row],[Withdrawal]])</f>
        <v>7513.5999999999804</v>
      </c>
      <c r="P34" s="251">
        <v>42423</v>
      </c>
      <c r="Q34" s="250">
        <f>IF(ISBLANK(CkReg15_16[[#This Row],[Withdrawal]]),Q33+CkReg15_16[[#This Row],[Deposit]],Q33-CkReg15_16[[#This Row],[Withdrawal]])</f>
        <v>12513.6</v>
      </c>
      <c r="R34" s="256"/>
      <c r="V34" s="85"/>
    </row>
    <row r="35" spans="2:26" s="96" customFormat="1" ht="14.4" customHeight="1" x14ac:dyDescent="0.3">
      <c r="B35" s="217" t="s">
        <v>36</v>
      </c>
      <c r="C35" s="215">
        <f>-(SUMIF(CkReg15_16[Category],"=" &amp;CategoryTable81210[[#This Row],[Category]],CkReg15_16[Withdrawal]))+(SUMIF(CkReg15_16[Category],"=" &amp;CategoryTable81210[[#This Row],[Category]],CkReg15_16[Deposit]))</f>
        <v>0</v>
      </c>
      <c r="D35" s="218">
        <v>-150</v>
      </c>
      <c r="E35" s="219">
        <f>+CategoryTable81210[[#This Row],[Actual to date]]-CategoryTable81210[[#This Row],[Budget]]</f>
        <v>150</v>
      </c>
      <c r="F35" s="95"/>
      <c r="H35" s="278">
        <v>3281</v>
      </c>
      <c r="I35" s="232">
        <v>42406</v>
      </c>
      <c r="J35" s="240" t="s">
        <v>131</v>
      </c>
      <c r="K35" s="240" t="s">
        <v>410</v>
      </c>
      <c r="L35" s="239" t="s">
        <v>387</v>
      </c>
      <c r="M35" s="255">
        <v>100</v>
      </c>
      <c r="N35" s="250"/>
      <c r="O35" s="250">
        <f>IF(ISBLANK(CkReg15_16[[#This Row],[Withdrawal]]),O34+CkReg15_16[[#This Row],[Deposit]],O34-CkReg15_16[[#This Row],[Withdrawal]])</f>
        <v>7413.5999999999804</v>
      </c>
      <c r="P35" s="251">
        <v>42489</v>
      </c>
      <c r="Q35" s="250">
        <f>IF(ISBLANK(CkReg15_16[[#This Row],[Withdrawal]]),Q34+CkReg15_16[[#This Row],[Deposit]],Q34-CkReg15_16[[#This Row],[Withdrawal]])</f>
        <v>12413.6</v>
      </c>
      <c r="R35" s="256"/>
      <c r="V35" s="85"/>
    </row>
    <row r="36" spans="2:26" s="96" customFormat="1" ht="14.4" customHeight="1" x14ac:dyDescent="0.3">
      <c r="B36" s="217" t="s">
        <v>387</v>
      </c>
      <c r="C36" s="215">
        <f>-(SUMIF(CkReg15_16[Category],"=" &amp;CategoryTable81210[[#This Row],[Category]],CkReg15_16[Withdrawal]))+(SUMIF(CkReg15_16[Category],"=" &amp;CategoryTable81210[[#This Row],[Category]],CkReg15_16[Deposit]))</f>
        <v>-100</v>
      </c>
      <c r="D36" s="218">
        <v>-100</v>
      </c>
      <c r="E36" s="219">
        <f>+CategoryTable81210[[#This Row],[Actual to date]]-CategoryTable81210[[#This Row],[Budget]]</f>
        <v>0</v>
      </c>
      <c r="F36" s="95"/>
      <c r="H36" s="278"/>
      <c r="I36" s="232">
        <v>42429</v>
      </c>
      <c r="J36" s="239" t="s">
        <v>261</v>
      </c>
      <c r="K36" s="239"/>
      <c r="L36" s="239" t="s">
        <v>91</v>
      </c>
      <c r="M36" s="255"/>
      <c r="N36" s="255">
        <v>0.49</v>
      </c>
      <c r="O36" s="250">
        <f>IF(ISBLANK(CkReg15_16[[#This Row],[Withdrawal]]),O35+CkReg15_16[[#This Row],[Deposit]],O35-CkReg15_16[[#This Row],[Withdrawal]])</f>
        <v>7414.0899999999801</v>
      </c>
      <c r="P36" s="251">
        <v>42429</v>
      </c>
      <c r="Q36" s="250">
        <f>IF(ISBLANK(CkReg15_16[[#This Row],[Withdrawal]]),Q35+CkReg15_16[[#This Row],[Deposit]],Q35-CkReg15_16[[#This Row],[Withdrawal]])</f>
        <v>12414.09</v>
      </c>
      <c r="R36" s="256"/>
      <c r="V36" s="85"/>
    </row>
    <row r="37" spans="2:26" s="96" customFormat="1" ht="14.4" customHeight="1" x14ac:dyDescent="0.3">
      <c r="B37" s="217" t="s">
        <v>388</v>
      </c>
      <c r="C37" s="215">
        <f>-(SUMIF(CkReg15_16[Category],"=" &amp;CategoryTable81210[[#This Row],[Category]],CkReg15_16[Withdrawal]))+(SUMIF(CkReg15_16[Category],"=" &amp;CategoryTable81210[[#This Row],[Category]],CkReg15_16[Deposit]))</f>
        <v>0</v>
      </c>
      <c r="D37" s="218">
        <v>-100</v>
      </c>
      <c r="E37" s="219">
        <f>+CategoryTable81210[[#This Row],[Actual to date]]-CategoryTable81210[[#This Row],[Budget]]</f>
        <v>100</v>
      </c>
      <c r="F37" s="95"/>
      <c r="H37" s="278"/>
      <c r="I37" s="232">
        <v>42460</v>
      </c>
      <c r="J37" s="239" t="s">
        <v>434</v>
      </c>
      <c r="K37" s="239" t="s">
        <v>435</v>
      </c>
      <c r="L37" s="239" t="s">
        <v>91</v>
      </c>
      <c r="M37" s="254"/>
      <c r="N37" s="254">
        <v>0.52</v>
      </c>
      <c r="O37" s="250">
        <f>IF(ISBLANK(CkReg15_16[[#This Row],[Withdrawal]]),O36+CkReg15_16[[#This Row],[Deposit]],O36-CkReg15_16[[#This Row],[Withdrawal]])</f>
        <v>7414.6099999999806</v>
      </c>
      <c r="P37" s="251">
        <v>42460</v>
      </c>
      <c r="Q37" s="250">
        <f>IF(ISBLANK(CkReg15_16[[#This Row],[Withdrawal]]),Q36+CkReg15_16[[#This Row],[Deposit]],Q36-CkReg15_16[[#This Row],[Withdrawal]])</f>
        <v>12414.61</v>
      </c>
      <c r="R37" s="257">
        <v>42460</v>
      </c>
      <c r="V37" s="85"/>
    </row>
    <row r="38" spans="2:26" s="96" customFormat="1" ht="14.4" customHeight="1" x14ac:dyDescent="0.3">
      <c r="B38" s="217" t="s">
        <v>389</v>
      </c>
      <c r="C38" s="215">
        <f>-(SUMIF(CkReg15_16[Category],"=" &amp;CategoryTable81210[[#This Row],[Category]],CkReg15_16[Withdrawal]))+(SUMIF(CkReg15_16[Category],"=" &amp;CategoryTable81210[[#This Row],[Category]],CkReg15_16[Deposit]))</f>
        <v>-282.85000000000002</v>
      </c>
      <c r="D38" s="218">
        <v>-100</v>
      </c>
      <c r="E38" s="219">
        <f>+CategoryTable81210[[#This Row],[Actual to date]]-CategoryTable81210[[#This Row],[Budget]]</f>
        <v>-182.85000000000002</v>
      </c>
      <c r="F38" s="172"/>
      <c r="H38" s="278">
        <v>3282</v>
      </c>
      <c r="I38" s="232">
        <v>42462</v>
      </c>
      <c r="J38" s="239" t="s">
        <v>92</v>
      </c>
      <c r="K38" s="239"/>
      <c r="L38" s="239" t="s">
        <v>43</v>
      </c>
      <c r="M38" s="255">
        <v>75</v>
      </c>
      <c r="N38" s="255"/>
      <c r="O38" s="250">
        <f>IF(ISBLANK(CkReg15_16[[#This Row],[Withdrawal]]),O37+CkReg15_16[[#This Row],[Deposit]],O37-CkReg15_16[[#This Row],[Withdrawal]])</f>
        <v>7339.6099999999806</v>
      </c>
      <c r="P38" s="251">
        <v>42472</v>
      </c>
      <c r="Q38" s="250">
        <f>IF(ISBLANK(CkReg15_16[[#This Row],[Withdrawal]]),Q37+CkReg15_16[[#This Row],[Deposit]],Q37-CkReg15_16[[#This Row],[Withdrawal]])</f>
        <v>12339.61</v>
      </c>
      <c r="R38" s="256"/>
      <c r="V38" s="85"/>
    </row>
    <row r="39" spans="2:26" s="96" customFormat="1" ht="14.4" customHeight="1" x14ac:dyDescent="0.3">
      <c r="B39" s="217" t="s">
        <v>390</v>
      </c>
      <c r="C39" s="215">
        <f>-(SUMIF(CkReg15_16[Category],"=" &amp;CategoryTable81210[[#This Row],[Category]],CkReg15_16[Withdrawal]))+(SUMIF(CkReg15_16[Category],"=" &amp;CategoryTable81210[[#This Row],[Category]],CkReg15_16[Deposit]))</f>
        <v>-240.64</v>
      </c>
      <c r="D39" s="218">
        <v>-250</v>
      </c>
      <c r="E39" s="219">
        <f>+CategoryTable81210[[#This Row],[Actual to date]]-CategoryTable81210[[#This Row],[Budget]]</f>
        <v>9.3600000000000136</v>
      </c>
      <c r="F39" s="172"/>
      <c r="H39" s="278">
        <v>3283</v>
      </c>
      <c r="I39" s="232">
        <v>42462</v>
      </c>
      <c r="J39" s="239" t="s">
        <v>363</v>
      </c>
      <c r="K39" s="239"/>
      <c r="L39" s="239" t="s">
        <v>52</v>
      </c>
      <c r="M39" s="255">
        <v>25.5</v>
      </c>
      <c r="N39" s="255"/>
      <c r="O39" s="250">
        <f>IF(ISBLANK(CkReg15_16[[#This Row],[Withdrawal]]),O38+CkReg15_16[[#This Row],[Deposit]],O38-CkReg15_16[[#This Row],[Withdrawal]])</f>
        <v>7314.1099999999806</v>
      </c>
      <c r="P39" s="251">
        <v>42466</v>
      </c>
      <c r="Q39" s="250">
        <f>IF(ISBLANK(CkReg15_16[[#This Row],[Withdrawal]]),Q38+CkReg15_16[[#This Row],[Deposit]],Q38-CkReg15_16[[#This Row],[Withdrawal]])</f>
        <v>12314.11</v>
      </c>
      <c r="R39" s="256"/>
      <c r="V39" s="85"/>
    </row>
    <row r="40" spans="2:26" s="96" customFormat="1" ht="14.4" customHeight="1" x14ac:dyDescent="0.3">
      <c r="B40" s="217" t="s">
        <v>391</v>
      </c>
      <c r="C40" s="215">
        <f>-(SUMIF(CkReg15_16[Category],"=" &amp;CategoryTable81210[[#This Row],[Category]],CkReg15_16[Withdrawal]))+(SUMIF(CkReg15_16[Category],"=" &amp;CategoryTable81210[[#This Row],[Category]],CkReg15_16[Deposit]))</f>
        <v>-250.01</v>
      </c>
      <c r="D40" s="218">
        <v>-500</v>
      </c>
      <c r="E40" s="219">
        <f>+CategoryTable81210[[#This Row],[Actual to date]]-CategoryTable81210[[#This Row],[Budget]]</f>
        <v>249.99</v>
      </c>
      <c r="F40" s="172"/>
      <c r="H40" s="278">
        <v>3284</v>
      </c>
      <c r="I40" s="232">
        <v>42462</v>
      </c>
      <c r="J40" s="239" t="s">
        <v>156</v>
      </c>
      <c r="K40" s="239" t="s">
        <v>436</v>
      </c>
      <c r="L40" s="239" t="s">
        <v>34</v>
      </c>
      <c r="M40" s="255">
        <v>131.31</v>
      </c>
      <c r="N40" s="255"/>
      <c r="O40" s="250">
        <f>IF(ISBLANK(CkReg15_16[[#This Row],[Withdrawal]]),O39+CkReg15_16[[#This Row],[Deposit]],O39-CkReg15_16[[#This Row],[Withdrawal]])</f>
        <v>7182.7999999999802</v>
      </c>
      <c r="P40" s="251">
        <v>42492</v>
      </c>
      <c r="Q40" s="250">
        <f>IF(ISBLANK(CkReg15_16[[#This Row],[Withdrawal]]),Q39+CkReg15_16[[#This Row],[Deposit]],Q39-CkReg15_16[[#This Row],[Withdrawal]])</f>
        <v>12182.800000000001</v>
      </c>
      <c r="R40" s="256"/>
      <c r="V40" s="85"/>
    </row>
    <row r="41" spans="2:26" s="96" customFormat="1" ht="14.4" customHeight="1" x14ac:dyDescent="0.3">
      <c r="B41" s="214" t="s">
        <v>55</v>
      </c>
      <c r="C41" s="215">
        <f>-(SUMIF(CkReg15_16[Category],"=" &amp;CategoryTable81210[[#This Row],[Category]],CkReg15_16[Withdrawal]))+(SUMIF(CkReg15_16[Category],"=" &amp;CategoryTable81210[[#This Row],[Category]],CkReg15_16[Deposit]))</f>
        <v>-2000</v>
      </c>
      <c r="D41" s="215">
        <v>-2000</v>
      </c>
      <c r="E41" s="216">
        <f>+CategoryTable81210[[#This Row],[Actual to date]]-CategoryTable81210[[#This Row],[Budget]]</f>
        <v>0</v>
      </c>
      <c r="F41" s="172"/>
      <c r="H41" s="278">
        <v>3285</v>
      </c>
      <c r="I41" s="232">
        <v>42462</v>
      </c>
      <c r="J41" s="239" t="s">
        <v>362</v>
      </c>
      <c r="K41" s="239"/>
      <c r="L41" s="239" t="s">
        <v>39</v>
      </c>
      <c r="M41" s="255">
        <v>75.62</v>
      </c>
      <c r="N41" s="255"/>
      <c r="O41" s="250">
        <f>IF(ISBLANK(CkReg15_16[[#This Row],[Withdrawal]]),O40+CkReg15_16[[#This Row],[Deposit]],O40-CkReg15_16[[#This Row],[Withdrawal]])</f>
        <v>7107.1799999999803</v>
      </c>
      <c r="P41" s="251">
        <v>42472</v>
      </c>
      <c r="Q41" s="250">
        <f>IF(ISBLANK(CkReg15_16[[#This Row],[Withdrawal]]),Q40+CkReg15_16[[#This Row],[Deposit]],Q40-CkReg15_16[[#This Row],[Withdrawal]])</f>
        <v>12107.18</v>
      </c>
      <c r="R41" s="256"/>
      <c r="V41" s="85"/>
    </row>
    <row r="42" spans="2:26" s="96" customFormat="1" ht="14.4" customHeight="1" x14ac:dyDescent="0.3">
      <c r="B42" s="214" t="s">
        <v>56</v>
      </c>
      <c r="C42" s="215">
        <f>-(SUMIF(CkReg15_16[Category],"=" &amp;CategoryTable81210[[#This Row],[Category]],CkReg15_16[Withdrawal]))+(SUMIF(CkReg15_16[Category],"=" &amp;CategoryTable81210[[#This Row],[Category]],CkReg15_16[Deposit]))</f>
        <v>-3000</v>
      </c>
      <c r="D42" s="215">
        <v>-3000</v>
      </c>
      <c r="E42" s="216">
        <f>+CategoryTable81210[[#This Row],[Actual to date]]-CategoryTable81210[[#This Row],[Budget]]</f>
        <v>0</v>
      </c>
      <c r="F42" s="172"/>
      <c r="H42" s="278">
        <v>3286</v>
      </c>
      <c r="I42" s="232">
        <v>42462</v>
      </c>
      <c r="J42" s="239" t="s">
        <v>92</v>
      </c>
      <c r="K42" s="239"/>
      <c r="L42" s="239" t="s">
        <v>43</v>
      </c>
      <c r="M42" s="255">
        <v>75</v>
      </c>
      <c r="N42" s="255"/>
      <c r="O42" s="250">
        <f>IF(ISBLANK(CkReg15_16[[#This Row],[Withdrawal]]),O41+CkReg15_16[[#This Row],[Deposit]],O41-CkReg15_16[[#This Row],[Withdrawal]])</f>
        <v>7032.1799999999803</v>
      </c>
      <c r="P42" s="251">
        <v>42472</v>
      </c>
      <c r="Q42" s="250">
        <f>IF(ISBLANK(CkReg15_16[[#This Row],[Withdrawal]]),Q41+CkReg15_16[[#This Row],[Deposit]],Q41-CkReg15_16[[#This Row],[Withdrawal]])</f>
        <v>12032.18</v>
      </c>
      <c r="R42" s="256"/>
      <c r="V42" s="85"/>
    </row>
    <row r="43" spans="2:26" s="96" customFormat="1" ht="14.4" customHeight="1" x14ac:dyDescent="0.3">
      <c r="B43" s="214" t="s">
        <v>58</v>
      </c>
      <c r="C43" s="215">
        <f>-(SUMIF(CkReg15_16[Category],"=" &amp;CategoryTable81210[[#This Row],[Category]],CkReg15_16[Withdrawal]))+(SUMIF(CkReg15_16[Category],"=" &amp;CategoryTable81210[[#This Row],[Category]],CkReg15_16[Deposit]))</f>
        <v>-2930.52</v>
      </c>
      <c r="D43" s="215">
        <v>0</v>
      </c>
      <c r="E43" s="216">
        <f>+CategoryTable81210[[#This Row],[Actual to date]]-CategoryTable81210[[#This Row],[Budget]]</f>
        <v>-2930.52</v>
      </c>
      <c r="F43" s="172"/>
      <c r="H43" s="278">
        <v>3287</v>
      </c>
      <c r="I43" s="232">
        <v>42462</v>
      </c>
      <c r="J43" s="239" t="s">
        <v>92</v>
      </c>
      <c r="K43" s="239"/>
      <c r="L43" s="239" t="s">
        <v>74</v>
      </c>
      <c r="M43" s="255">
        <v>25</v>
      </c>
      <c r="N43" s="255"/>
      <c r="O43" s="250">
        <f>IF(ISBLANK(CkReg15_16[[#This Row],[Withdrawal]]),O42+CkReg15_16[[#This Row],[Deposit]],O42-CkReg15_16[[#This Row],[Withdrawal]])</f>
        <v>7007.1799999999803</v>
      </c>
      <c r="P43" s="251">
        <v>42472</v>
      </c>
      <c r="Q43" s="250">
        <f>IF(ISBLANK(CkReg15_16[[#This Row],[Withdrawal]]),Q42+CkReg15_16[[#This Row],[Deposit]],Q42-CkReg15_16[[#This Row],[Withdrawal]])</f>
        <v>12007.18</v>
      </c>
      <c r="R43" s="256"/>
      <c r="V43" s="85"/>
    </row>
    <row r="44" spans="2:26" s="96" customFormat="1" ht="14.4" customHeight="1" x14ac:dyDescent="0.3">
      <c r="B44" s="214" t="s">
        <v>59</v>
      </c>
      <c r="C44" s="215">
        <f>-(SUMIF(CkReg15_16[Category],"=" &amp;CategoryTable81210[[#This Row],[Category]],CkReg15_16[Withdrawal]))+(SUMIF(CkReg15_16[Category],"=" &amp;CategoryTable81210[[#This Row],[Category]],CkReg15_16[Deposit]))</f>
        <v>-1953.68</v>
      </c>
      <c r="D44" s="215">
        <v>0</v>
      </c>
      <c r="E44" s="216">
        <f>+CategoryTable81210[[#This Row],[Actual to date]]-CategoryTable81210[[#This Row],[Budget]]</f>
        <v>-1953.68</v>
      </c>
      <c r="F44" s="95"/>
      <c r="H44" s="278" t="s">
        <v>414</v>
      </c>
      <c r="I44" s="232">
        <v>42464</v>
      </c>
      <c r="J44" s="240" t="s">
        <v>392</v>
      </c>
      <c r="K44" s="240"/>
      <c r="L44" s="239" t="s">
        <v>32</v>
      </c>
      <c r="M44" s="250"/>
      <c r="N44" s="255">
        <v>50</v>
      </c>
      <c r="O44" s="250">
        <f>IF(ISBLANK(CkReg15_16[[#This Row],[Withdrawal]]),O43+CkReg15_16[[#This Row],[Deposit]],O43-CkReg15_16[[#This Row],[Withdrawal]])</f>
        <v>7057.1799999999803</v>
      </c>
      <c r="P44" s="251">
        <v>42467</v>
      </c>
      <c r="Q44" s="250">
        <f>IF(ISBLANK(CkReg15_16[[#This Row],[Withdrawal]]),Q43+CkReg15_16[[#This Row],[Deposit]],Q43-CkReg15_16[[#This Row],[Withdrawal]])</f>
        <v>12057.18</v>
      </c>
      <c r="R44" s="256"/>
      <c r="V44" s="85"/>
    </row>
    <row r="45" spans="2:26" s="96" customFormat="1" ht="14.4" customHeight="1" x14ac:dyDescent="0.3">
      <c r="B45" s="214" t="s">
        <v>60</v>
      </c>
      <c r="C45" s="215">
        <f>-(SUMIF(CkReg15_16[Category],"=" &amp;CategoryTable81210[[#This Row],[Category]],CkReg15_16[Withdrawal]))+(SUMIF(CkReg15_16[Category],"=" &amp;CategoryTable81210[[#This Row],[Category]],CkReg15_16[Deposit]))</f>
        <v>6481</v>
      </c>
      <c r="D45" s="215">
        <v>6000</v>
      </c>
      <c r="E45" s="216">
        <f>+CategoryTable81210[[#This Row],[Actual to date]]-CategoryTable81210[[#This Row],[Budget]]</f>
        <v>481</v>
      </c>
      <c r="F45" s="95"/>
      <c r="H45" s="278" t="s">
        <v>415</v>
      </c>
      <c r="I45" s="232">
        <v>42464</v>
      </c>
      <c r="J45" s="240" t="s">
        <v>393</v>
      </c>
      <c r="K45" s="240"/>
      <c r="L45" s="239" t="s">
        <v>32</v>
      </c>
      <c r="M45" s="250"/>
      <c r="N45" s="255">
        <v>75</v>
      </c>
      <c r="O45" s="250">
        <f>IF(ISBLANK(CkReg15_16[[#This Row],[Withdrawal]]),O44+CkReg15_16[[#This Row],[Deposit]],O44-CkReg15_16[[#This Row],[Withdrawal]])</f>
        <v>7132.1799999999803</v>
      </c>
      <c r="P45" s="251">
        <v>42467</v>
      </c>
      <c r="Q45" s="250">
        <f>IF(ISBLANK(CkReg15_16[[#This Row],[Withdrawal]]),Q44+CkReg15_16[[#This Row],[Deposit]],Q44-CkReg15_16[[#This Row],[Withdrawal]])</f>
        <v>12132.18</v>
      </c>
      <c r="R45" s="256"/>
      <c r="V45" s="85"/>
    </row>
    <row r="46" spans="2:26" s="96" customFormat="1" ht="14.4" customHeight="1" x14ac:dyDescent="0.3">
      <c r="B46" s="214" t="s">
        <v>61</v>
      </c>
      <c r="C46" s="215">
        <f>-(SUMIF(CkReg15_16[Category],"=" &amp;CategoryTable81210[[#This Row],[Category]],CkReg15_16[Withdrawal]))+(SUMIF(CkReg15_16[Category],"=" &amp;CategoryTable81210[[#This Row],[Category]],CkReg15_16[Deposit]))</f>
        <v>17444.810000000001</v>
      </c>
      <c r="D46" s="215">
        <v>12000</v>
      </c>
      <c r="E46" s="216">
        <f>+CategoryTable81210[[#This Row],[Actual to date]]-CategoryTable81210[[#This Row],[Budget]]</f>
        <v>5444.8100000000013</v>
      </c>
      <c r="F46" s="95"/>
      <c r="H46" s="278" t="s">
        <v>416</v>
      </c>
      <c r="I46" s="232">
        <v>42464</v>
      </c>
      <c r="J46" s="239" t="s">
        <v>394</v>
      </c>
      <c r="K46" s="239"/>
      <c r="L46" s="239" t="s">
        <v>32</v>
      </c>
      <c r="M46" s="250"/>
      <c r="N46" s="255">
        <v>40</v>
      </c>
      <c r="O46" s="250">
        <f>IF(ISBLANK(CkReg15_16[[#This Row],[Withdrawal]]),O45+CkReg15_16[[#This Row],[Deposit]],O45-CkReg15_16[[#This Row],[Withdrawal]])</f>
        <v>7172.1799999999803</v>
      </c>
      <c r="P46" s="251">
        <v>42467</v>
      </c>
      <c r="Q46" s="250">
        <f>IF(ISBLANK(CkReg15_16[[#This Row],[Withdrawal]]),Q45+CkReg15_16[[#This Row],[Deposit]],Q45-CkReg15_16[[#This Row],[Withdrawal]])</f>
        <v>12172.18</v>
      </c>
      <c r="R46" s="256"/>
      <c r="V46" s="85"/>
    </row>
    <row r="47" spans="2:26" s="96" customFormat="1" ht="14.4" customHeight="1" x14ac:dyDescent="0.3">
      <c r="B47" s="214" t="s">
        <v>62</v>
      </c>
      <c r="C47" s="215">
        <f>-(SUMIF(CkReg15_16[Category],"=" &amp;CategoryTable81210[[#This Row],[Category]],CkReg15_16[Withdrawal]))+(SUMIF(CkReg15_16[Category],"=" &amp;CategoryTable81210[[#This Row],[Category]],CkReg15_16[Deposit]))</f>
        <v>-100</v>
      </c>
      <c r="D47" s="215">
        <v>-100</v>
      </c>
      <c r="E47" s="216">
        <f>+CategoryTable81210[[#This Row],[Actual to date]]-CategoryTable81210[[#This Row],[Budget]]</f>
        <v>0</v>
      </c>
      <c r="F47" s="95"/>
      <c r="H47" s="278" t="s">
        <v>417</v>
      </c>
      <c r="I47" s="232">
        <v>42464</v>
      </c>
      <c r="J47" s="239" t="s">
        <v>422</v>
      </c>
      <c r="K47" s="239"/>
      <c r="L47" s="239" t="s">
        <v>32</v>
      </c>
      <c r="M47" s="250"/>
      <c r="N47" s="255">
        <v>50</v>
      </c>
      <c r="O47" s="250">
        <f>IF(ISBLANK(CkReg15_16[[#This Row],[Withdrawal]]),O46+CkReg15_16[[#This Row],[Deposit]],O46-CkReg15_16[[#This Row],[Withdrawal]])</f>
        <v>7222.1799999999803</v>
      </c>
      <c r="P47" s="251">
        <v>42467</v>
      </c>
      <c r="Q47" s="250">
        <f>IF(ISBLANK(CkReg15_16[[#This Row],[Withdrawal]]),Q46+CkReg15_16[[#This Row],[Deposit]],Q46-CkReg15_16[[#This Row],[Withdrawal]])</f>
        <v>12222.18</v>
      </c>
      <c r="R47" s="256"/>
      <c r="V47" s="85"/>
    </row>
    <row r="48" spans="2:26" s="96" customFormat="1" ht="14.4" customHeight="1" x14ac:dyDescent="0.3">
      <c r="B48" s="214" t="s">
        <v>63</v>
      </c>
      <c r="C48" s="215">
        <f>-(SUMIF(CkReg15_16[Category],"=" &amp;CategoryTable81210[[#This Row],[Category]],CkReg15_16[Withdrawal]))+(SUMIF(CkReg15_16[Category],"=" &amp;CategoryTable81210[[#This Row],[Category]],CkReg15_16[Deposit]))</f>
        <v>-78.8</v>
      </c>
      <c r="D48" s="215">
        <v>-100</v>
      </c>
      <c r="E48" s="216">
        <f>+CategoryTable81210[[#This Row],[Actual to date]]-CategoryTable81210[[#This Row],[Budget]]</f>
        <v>21.200000000000003</v>
      </c>
      <c r="F48" s="95"/>
      <c r="H48" s="278" t="s">
        <v>418</v>
      </c>
      <c r="I48" s="232">
        <v>42464</v>
      </c>
      <c r="J48" s="239" t="s">
        <v>396</v>
      </c>
      <c r="K48" s="239"/>
      <c r="L48" s="239" t="s">
        <v>32</v>
      </c>
      <c r="M48" s="250"/>
      <c r="N48" s="255">
        <v>100</v>
      </c>
      <c r="O48" s="250">
        <f>IF(ISBLANK(CkReg15_16[[#This Row],[Withdrawal]]),O47+CkReg15_16[[#This Row],[Deposit]],O47-CkReg15_16[[#This Row],[Withdrawal]])</f>
        <v>7322.1799999999803</v>
      </c>
      <c r="P48" s="251">
        <v>42467</v>
      </c>
      <c r="Q48" s="250">
        <f>IF(ISBLANK(CkReg15_16[[#This Row],[Withdrawal]]),Q47+CkReg15_16[[#This Row],[Deposit]],Q47-CkReg15_16[[#This Row],[Withdrawal]])</f>
        <v>12322.18</v>
      </c>
      <c r="R48" s="256"/>
      <c r="V48" s="85"/>
    </row>
    <row r="49" spans="2:22" s="96" customFormat="1" ht="14.4" customHeight="1" x14ac:dyDescent="0.3">
      <c r="B49" s="214" t="s">
        <v>64</v>
      </c>
      <c r="C49" s="215">
        <f>-(SUMIF(CkReg15_16[Category],"=" &amp;CategoryTable81210[[#This Row],[Category]],CkReg15_16[Withdrawal]))+(SUMIF(CkReg15_16[Category],"=" &amp;CategoryTable81210[[#This Row],[Category]],CkReg15_16[Deposit]))</f>
        <v>-49.2</v>
      </c>
      <c r="D49" s="215">
        <v>-50</v>
      </c>
      <c r="E49" s="216">
        <f>+CategoryTable81210[[#This Row],[Actual to date]]-CategoryTable81210[[#This Row],[Budget]]</f>
        <v>0.79999999999999716</v>
      </c>
      <c r="F49" s="95"/>
      <c r="H49" s="278" t="s">
        <v>419</v>
      </c>
      <c r="I49" s="232">
        <v>42464</v>
      </c>
      <c r="J49" s="239" t="s">
        <v>397</v>
      </c>
      <c r="K49" s="239"/>
      <c r="L49" s="239" t="s">
        <v>32</v>
      </c>
      <c r="M49" s="250"/>
      <c r="N49" s="255">
        <v>25</v>
      </c>
      <c r="O49" s="250">
        <f>IF(ISBLANK(CkReg15_16[[#This Row],[Withdrawal]]),O48+CkReg15_16[[#This Row],[Deposit]],O48-CkReg15_16[[#This Row],[Withdrawal]])</f>
        <v>7347.1799999999803</v>
      </c>
      <c r="P49" s="251">
        <v>42467</v>
      </c>
      <c r="Q49" s="250">
        <f>IF(ISBLANK(CkReg15_16[[#This Row],[Withdrawal]]),Q48+CkReg15_16[[#This Row],[Deposit]],Q48-CkReg15_16[[#This Row],[Withdrawal]])</f>
        <v>12347.18</v>
      </c>
      <c r="R49" s="256"/>
      <c r="V49" s="85"/>
    </row>
    <row r="50" spans="2:22" s="96" customFormat="1" ht="14.4" customHeight="1" x14ac:dyDescent="0.3">
      <c r="B50" s="214" t="s">
        <v>65</v>
      </c>
      <c r="C50" s="215">
        <f>-(SUMIF(CkReg15_16[Category],"=" &amp;CategoryTable81210[[#This Row],[Category]],CkReg15_16[Withdrawal]))+(SUMIF(CkReg15_16[Category],"=" &amp;CategoryTable81210[[#This Row],[Category]],CkReg15_16[Deposit]))</f>
        <v>-37.93</v>
      </c>
      <c r="D50" s="215">
        <v>-50</v>
      </c>
      <c r="E50" s="216">
        <f>+CategoryTable81210[[#This Row],[Actual to date]]-CategoryTable81210[[#This Row],[Budget]]</f>
        <v>12.07</v>
      </c>
      <c r="F50" s="95"/>
      <c r="H50" s="278" t="s">
        <v>588</v>
      </c>
      <c r="I50" s="232">
        <v>42464</v>
      </c>
      <c r="J50" s="240" t="s">
        <v>303</v>
      </c>
      <c r="K50" s="240"/>
      <c r="L50" s="239" t="s">
        <v>32</v>
      </c>
      <c r="M50" s="250"/>
      <c r="N50" s="255">
        <v>100</v>
      </c>
      <c r="O50" s="250">
        <f>IF(ISBLANK(CkReg15_16[[#This Row],[Withdrawal]]),O49+CkReg15_16[[#This Row],[Deposit]],O49-CkReg15_16[[#This Row],[Withdrawal]])</f>
        <v>7447.1799999999803</v>
      </c>
      <c r="P50" s="251">
        <v>42467</v>
      </c>
      <c r="Q50" s="250">
        <f>IF(ISBLANK(CkReg15_16[[#This Row],[Withdrawal]]),Q49+CkReg15_16[[#This Row],[Deposit]],Q49-CkReg15_16[[#This Row],[Withdrawal]])</f>
        <v>12447.18</v>
      </c>
      <c r="R50" s="256"/>
      <c r="V50" s="85"/>
    </row>
    <row r="51" spans="2:22" s="96" customFormat="1" ht="14.4" customHeight="1" x14ac:dyDescent="0.3">
      <c r="B51" s="214" t="s">
        <v>66</v>
      </c>
      <c r="C51" s="215">
        <f>-(SUMIF(CkReg15_16[Category],"=" &amp;CategoryTable81210[[#This Row],[Category]],CkReg15_16[Withdrawal]))+(SUMIF(CkReg15_16[Category],"=" &amp;CategoryTable81210[[#This Row],[Category]],CkReg15_16[Deposit]))</f>
        <v>-6017.95</v>
      </c>
      <c r="D51" s="215">
        <v>-3600</v>
      </c>
      <c r="E51" s="216">
        <f>+CategoryTable81210[[#This Row],[Actual to date]]-CategoryTable81210[[#This Row],[Budget]]</f>
        <v>-2417.9499999999998</v>
      </c>
      <c r="F51" s="95"/>
      <c r="H51" s="278" t="s">
        <v>420</v>
      </c>
      <c r="I51" s="232">
        <v>42464</v>
      </c>
      <c r="J51" s="239" t="s">
        <v>423</v>
      </c>
      <c r="K51" s="239"/>
      <c r="L51" s="239" t="s">
        <v>32</v>
      </c>
      <c r="M51" s="250"/>
      <c r="N51" s="254">
        <v>20</v>
      </c>
      <c r="O51" s="250">
        <f>IF(ISBLANK(CkReg15_16[[#This Row],[Withdrawal]]),O50+CkReg15_16[[#This Row],[Deposit]],O50-CkReg15_16[[#This Row],[Withdrawal]])</f>
        <v>7467.1799999999803</v>
      </c>
      <c r="P51" s="251">
        <v>42467</v>
      </c>
      <c r="Q51" s="250">
        <f>IF(ISBLANK(CkReg15_16[[#This Row],[Withdrawal]]),Q50+CkReg15_16[[#This Row],[Deposit]],Q50-CkReg15_16[[#This Row],[Withdrawal]])</f>
        <v>12467.18</v>
      </c>
      <c r="R51" s="256"/>
      <c r="V51" s="85"/>
    </row>
    <row r="52" spans="2:22" s="96" customFormat="1" ht="14.4" customHeight="1" x14ac:dyDescent="0.3">
      <c r="B52" s="214" t="s">
        <v>67</v>
      </c>
      <c r="C52" s="215">
        <f>-(SUMIF(CkReg15_16[Category],"=" &amp;CategoryTable81210[[#This Row],[Category]],CkReg15_16[Withdrawal]))+(SUMIF(CkReg15_16[Category],"=" &amp;CategoryTable81210[[#This Row],[Category]],CkReg15_16[Deposit]))</f>
        <v>-3847.6399999999994</v>
      </c>
      <c r="D52" s="215">
        <v>-3500</v>
      </c>
      <c r="E52" s="216">
        <f>+CategoryTable81210[[#This Row],[Actual to date]]-CategoryTable81210[[#This Row],[Budget]]</f>
        <v>-347.63999999999942</v>
      </c>
      <c r="F52" s="95"/>
      <c r="H52" s="278">
        <v>3288</v>
      </c>
      <c r="I52" s="232">
        <v>42481</v>
      </c>
      <c r="J52" s="240" t="s">
        <v>362</v>
      </c>
      <c r="K52" s="240"/>
      <c r="L52" s="239" t="s">
        <v>70</v>
      </c>
      <c r="M52" s="255">
        <v>171.92</v>
      </c>
      <c r="N52" s="255"/>
      <c r="O52" s="250">
        <f>IF(ISBLANK(CkReg15_16[[#This Row],[Withdrawal]]),O51+CkReg15_16[[#This Row],[Deposit]],O51-CkReg15_16[[#This Row],[Withdrawal]])</f>
        <v>7295.2599999999802</v>
      </c>
      <c r="P52" s="251">
        <v>42492</v>
      </c>
      <c r="Q52" s="250">
        <f>IF(ISBLANK(CkReg15_16[[#This Row],[Withdrawal]]),Q51+CkReg15_16[[#This Row],[Deposit]],Q51-CkReg15_16[[#This Row],[Withdrawal]])</f>
        <v>12295.26</v>
      </c>
      <c r="R52" s="256"/>
      <c r="V52" s="85"/>
    </row>
    <row r="53" spans="2:22" s="96" customFormat="1" ht="14.4" customHeight="1" x14ac:dyDescent="0.3">
      <c r="B53" s="214" t="s">
        <v>68</v>
      </c>
      <c r="C53" s="215">
        <f>-(SUMIF(CkReg15_16[Category],"=" &amp;CategoryTable81210[[#This Row],[Category]],CkReg15_16[Withdrawal]))+(SUMIF(CkReg15_16[Category],"=" &amp;CategoryTable81210[[#This Row],[Category]],CkReg15_16[Deposit]))</f>
        <v>-492</v>
      </c>
      <c r="D53" s="215">
        <v>-800</v>
      </c>
      <c r="E53" s="216">
        <f>+CategoryTable81210[[#This Row],[Actual to date]]-CategoryTable81210[[#This Row],[Budget]]</f>
        <v>308</v>
      </c>
      <c r="F53" s="95"/>
      <c r="H53" s="278" t="s">
        <v>424</v>
      </c>
      <c r="I53" s="232">
        <v>42486</v>
      </c>
      <c r="J53" s="239" t="s">
        <v>425</v>
      </c>
      <c r="K53" s="239" t="s">
        <v>426</v>
      </c>
      <c r="L53" s="239" t="s">
        <v>67</v>
      </c>
      <c r="M53" s="255">
        <v>392.68</v>
      </c>
      <c r="N53" s="255"/>
      <c r="O53" s="250">
        <f>IF(ISBLANK(CkReg15_16[[#This Row],[Withdrawal]]),O52+CkReg15_16[[#This Row],[Deposit]],O52-CkReg15_16[[#This Row],[Withdrawal]])</f>
        <v>6902.5799999999799</v>
      </c>
      <c r="P53" s="251">
        <v>42492</v>
      </c>
      <c r="Q53" s="250">
        <f>IF(ISBLANK(CkReg15_16[[#This Row],[Withdrawal]]),Q52+CkReg15_16[[#This Row],[Deposit]],Q52-CkReg15_16[[#This Row],[Withdrawal]])</f>
        <v>11902.58</v>
      </c>
      <c r="R53" s="256"/>
      <c r="V53" s="85"/>
    </row>
    <row r="54" spans="2:22" s="96" customFormat="1" ht="14.4" customHeight="1" x14ac:dyDescent="0.3">
      <c r="B54" s="214" t="s">
        <v>69</v>
      </c>
      <c r="C54" s="215">
        <f>-(SUMIF(CkReg15_16[Category],"=" &amp;CategoryTable81210[[#This Row],[Category]],CkReg15_16[Withdrawal]))+(SUMIF(CkReg15_16[Category],"=" &amp;CategoryTable81210[[#This Row],[Category]],CkReg15_16[Deposit]))</f>
        <v>-4875</v>
      </c>
      <c r="D54" s="215">
        <v>-6500</v>
      </c>
      <c r="E54" s="216">
        <f>+CategoryTable81210[[#This Row],[Actual to date]]-CategoryTable81210[[#This Row],[Budget]]</f>
        <v>1625</v>
      </c>
      <c r="F54" s="95"/>
      <c r="H54" s="278"/>
      <c r="I54" s="232">
        <v>42489</v>
      </c>
      <c r="J54" s="239" t="s">
        <v>434</v>
      </c>
      <c r="K54" s="239" t="s">
        <v>437</v>
      </c>
      <c r="L54" s="239" t="s">
        <v>91</v>
      </c>
      <c r="M54" s="254"/>
      <c r="N54" s="254">
        <v>0.52</v>
      </c>
      <c r="O54" s="250">
        <f>IF(ISBLANK(CkReg15_16[[#This Row],[Withdrawal]]),O53+CkReg15_16[[#This Row],[Deposit]],O53-CkReg15_16[[#This Row],[Withdrawal]])</f>
        <v>6903.0999999999804</v>
      </c>
      <c r="P54" s="251">
        <v>42489</v>
      </c>
      <c r="Q54" s="250">
        <f>IF(ISBLANK(CkReg15_16[[#This Row],[Withdrawal]]),Q53+CkReg15_16[[#This Row],[Deposit]],Q53-CkReg15_16[[#This Row],[Withdrawal]])</f>
        <v>11903.1</v>
      </c>
      <c r="R54" s="256"/>
      <c r="V54" s="85"/>
    </row>
    <row r="55" spans="2:22" s="96" customFormat="1" ht="14.4" customHeight="1" x14ac:dyDescent="0.3">
      <c r="B55" s="214" t="s">
        <v>70</v>
      </c>
      <c r="C55" s="215">
        <f>-(SUMIF(CkReg15_16[Category],"=" &amp;CategoryTable81210[[#This Row],[Category]],CkReg15_16[Withdrawal]))+(SUMIF(CkReg15_16[Category],"=" &amp;CategoryTable81210[[#This Row],[Category]],CkReg15_16[Deposit]))</f>
        <v>-410.48</v>
      </c>
      <c r="D55" s="215">
        <v>-100</v>
      </c>
      <c r="E55" s="216">
        <f>+CategoryTable81210[[#This Row],[Actual to date]]-CategoryTable81210[[#This Row],[Budget]]</f>
        <v>-310.48</v>
      </c>
      <c r="F55" s="95"/>
      <c r="H55" s="279"/>
      <c r="I55" s="233">
        <v>42491</v>
      </c>
      <c r="J55" s="241" t="s">
        <v>460</v>
      </c>
      <c r="K55" s="241"/>
      <c r="L55" s="241" t="s">
        <v>61</v>
      </c>
      <c r="M55" s="258"/>
      <c r="N55" s="258">
        <v>110</v>
      </c>
      <c r="O55" s="250">
        <f>IF(ISBLANK(CkReg15_16[[#This Row],[Withdrawal]]),O54+CkReg15_16[[#This Row],[Deposit]],O54-CkReg15_16[[#This Row],[Withdrawal]])</f>
        <v>7013.0999999999804</v>
      </c>
      <c r="P55" s="259">
        <v>42492</v>
      </c>
      <c r="Q55" s="250">
        <f>IF(ISBLANK(CkReg15_16[[#This Row],[Withdrawal]]),Q54+CkReg15_16[[#This Row],[Deposit]],Q54-CkReg15_16[[#This Row],[Withdrawal]])</f>
        <v>12013.1</v>
      </c>
      <c r="R55" s="260"/>
      <c r="V55" s="85"/>
    </row>
    <row r="56" spans="2:22" s="96" customFormat="1" ht="14.4" customHeight="1" x14ac:dyDescent="0.3">
      <c r="B56" s="214" t="s">
        <v>71</v>
      </c>
      <c r="C56" s="215">
        <f>-(SUMIF(CkReg15_16[Category],"=" &amp;CategoryTable81210[[#This Row],[Category]],CkReg15_16[Withdrawal]))+(SUMIF(CkReg15_16[Category],"=" &amp;CategoryTable81210[[#This Row],[Category]],CkReg15_16[Deposit]))</f>
        <v>0</v>
      </c>
      <c r="D56" s="215">
        <v>-100</v>
      </c>
      <c r="E56" s="216">
        <f>+CategoryTable81210[[#This Row],[Actual to date]]-CategoryTable81210[[#This Row],[Budget]]</f>
        <v>100</v>
      </c>
      <c r="F56" s="95"/>
      <c r="H56" s="279"/>
      <c r="I56" s="233">
        <v>42491</v>
      </c>
      <c r="J56" s="241" t="s">
        <v>460</v>
      </c>
      <c r="K56" s="241"/>
      <c r="L56" s="241" t="s">
        <v>70</v>
      </c>
      <c r="M56" s="258">
        <v>4.13</v>
      </c>
      <c r="N56" s="258"/>
      <c r="O56" s="250">
        <f>IF(ISBLANK(CkReg15_16[[#This Row],[Withdrawal]]),O55+CkReg15_16[[#This Row],[Deposit]],O55-CkReg15_16[[#This Row],[Withdrawal]])</f>
        <v>7008.9699999999802</v>
      </c>
      <c r="P56" s="259">
        <v>42492</v>
      </c>
      <c r="Q56" s="250">
        <f>IF(ISBLANK(CkReg15_16[[#This Row],[Withdrawal]]),Q55+CkReg15_16[[#This Row],[Deposit]],Q55-CkReg15_16[[#This Row],[Withdrawal]])</f>
        <v>12008.970000000001</v>
      </c>
      <c r="R56" s="260"/>
      <c r="V56" s="85"/>
    </row>
    <row r="57" spans="2:22" s="96" customFormat="1" ht="14.4" customHeight="1" x14ac:dyDescent="0.3">
      <c r="B57" s="214" t="s">
        <v>72</v>
      </c>
      <c r="C57" s="215">
        <f>-(SUMIF(CkReg15_16[Category],"=" &amp;CategoryTable81210[[#This Row],[Category]],CkReg15_16[Withdrawal]))+(SUMIF(CkReg15_16[Category],"=" &amp;CategoryTable81210[[#This Row],[Category]],CkReg15_16[Deposit]))</f>
        <v>0</v>
      </c>
      <c r="D57" s="215">
        <v>-200</v>
      </c>
      <c r="E57" s="216">
        <f>+CategoryTable81210[[#This Row],[Actual to date]]-CategoryTable81210[[#This Row],[Budget]]</f>
        <v>200</v>
      </c>
      <c r="F57" s="95"/>
      <c r="H57" s="279"/>
      <c r="I57" s="233">
        <v>42491</v>
      </c>
      <c r="J57" s="241" t="s">
        <v>460</v>
      </c>
      <c r="K57" s="241" t="s">
        <v>461</v>
      </c>
      <c r="L57" s="241" t="s">
        <v>60</v>
      </c>
      <c r="M57" s="258"/>
      <c r="N57" s="258">
        <v>8</v>
      </c>
      <c r="O57" s="250">
        <f>IF(ISBLANK(CkReg15_16[[#This Row],[Withdrawal]]),O56+CkReg15_16[[#This Row],[Deposit]],O56-CkReg15_16[[#This Row],[Withdrawal]])</f>
        <v>7016.9699999999802</v>
      </c>
      <c r="P57" s="259">
        <v>42492</v>
      </c>
      <c r="Q57" s="250">
        <f>IF(ISBLANK(CkReg15_16[[#This Row],[Withdrawal]]),Q56+CkReg15_16[[#This Row],[Deposit]],Q56-CkReg15_16[[#This Row],[Withdrawal]])</f>
        <v>12016.970000000001</v>
      </c>
      <c r="R57" s="260"/>
      <c r="V57" s="85"/>
    </row>
    <row r="58" spans="2:22" s="96" customFormat="1" ht="14.4" customHeight="1" x14ac:dyDescent="0.3">
      <c r="B58" s="214" t="s">
        <v>73</v>
      </c>
      <c r="C58" s="215">
        <f>-(SUMIF(CkReg15_16[Category],"=" &amp;CategoryTable81210[[#This Row],[Category]],CkReg15_16[Withdrawal]))+(SUMIF(CkReg15_16[Category],"=" &amp;CategoryTable81210[[#This Row],[Category]],CkReg15_16[Deposit]))</f>
        <v>0</v>
      </c>
      <c r="D58" s="215">
        <v>0</v>
      </c>
      <c r="E58" s="216">
        <f>+CategoryTable81210[[#This Row],[Actual to date]]-CategoryTable81210[[#This Row],[Budget]]</f>
        <v>0</v>
      </c>
      <c r="F58" s="95"/>
      <c r="H58" s="279"/>
      <c r="I58" s="233">
        <v>42492</v>
      </c>
      <c r="J58" s="241" t="s">
        <v>460</v>
      </c>
      <c r="K58" s="241"/>
      <c r="L58" s="241" t="s">
        <v>67</v>
      </c>
      <c r="M58" s="258">
        <v>0.3</v>
      </c>
      <c r="N58" s="258" t="s">
        <v>142</v>
      </c>
      <c r="O58" s="250">
        <f>IF(ISBLANK(CkReg15_16[[#This Row],[Withdrawal]]),O57+CkReg15_16[[#This Row],[Deposit]],O57-CkReg15_16[[#This Row],[Withdrawal]])</f>
        <v>7016.6699999999801</v>
      </c>
      <c r="P58" s="259">
        <v>42492</v>
      </c>
      <c r="Q58" s="250">
        <f>IF(ISBLANK(CkReg15_16[[#This Row],[Withdrawal]]),Q57+CkReg15_16[[#This Row],[Deposit]],Q57-CkReg15_16[[#This Row],[Withdrawal]])</f>
        <v>12016.670000000002</v>
      </c>
      <c r="R58" s="260"/>
      <c r="V58" s="85"/>
    </row>
    <row r="59" spans="2:22" s="96" customFormat="1" ht="14.4" customHeight="1" x14ac:dyDescent="0.3">
      <c r="B59" s="214" t="s">
        <v>74</v>
      </c>
      <c r="C59" s="215">
        <f>-(SUMIF(CkReg15_16[Category],"=" &amp;CategoryTable81210[[#This Row],[Category]],CkReg15_16[Withdrawal]))+(SUMIF(CkReg15_16[Category],"=" &amp;CategoryTable81210[[#This Row],[Category]],CkReg15_16[Deposit]))</f>
        <v>-185.96000000000004</v>
      </c>
      <c r="D59" s="215">
        <v>-150</v>
      </c>
      <c r="E59" s="216">
        <f>+CategoryTable81210[[#This Row],[Actual to date]]-CategoryTable81210[[#This Row],[Budget]]</f>
        <v>-35.960000000000036</v>
      </c>
      <c r="F59" s="95"/>
      <c r="H59" s="278" t="s">
        <v>427</v>
      </c>
      <c r="I59" s="232">
        <v>42493</v>
      </c>
      <c r="J59" s="239" t="s">
        <v>428</v>
      </c>
      <c r="K59" s="239" t="s">
        <v>429</v>
      </c>
      <c r="L59" s="239" t="s">
        <v>389</v>
      </c>
      <c r="M59" s="255">
        <v>250</v>
      </c>
      <c r="N59" s="255"/>
      <c r="O59" s="250">
        <f>IF(ISBLANK(CkReg15_16[[#This Row],[Withdrawal]]),O58+CkReg15_16[[#This Row],[Deposit]],O58-CkReg15_16[[#This Row],[Withdrawal]])</f>
        <v>6766.6699999999801</v>
      </c>
      <c r="P59" s="251">
        <v>42507</v>
      </c>
      <c r="Q59" s="250">
        <f>IF(ISBLANK(CkReg15_16[[#This Row],[Withdrawal]]),Q58+CkReg15_16[[#This Row],[Deposit]],Q58-CkReg15_16[[#This Row],[Withdrawal]])</f>
        <v>11766.670000000002</v>
      </c>
      <c r="R59" s="256"/>
      <c r="V59" s="85"/>
    </row>
    <row r="60" spans="2:22" s="96" customFormat="1" ht="14.4" customHeight="1" thickBot="1" x14ac:dyDescent="0.35">
      <c r="B60" s="214" t="s">
        <v>518</v>
      </c>
      <c r="C60" s="215">
        <f>SUBTOTAL(109,C16:C59)</f>
        <v>8806.4299999999857</v>
      </c>
      <c r="D60" s="196">
        <f>SUBTOTAL(109,D16:D59)</f>
        <v>5910.4699999999793</v>
      </c>
      <c r="E60" s="220">
        <f>SUBTOTAL(109,E16:E59)</f>
        <v>2895.9600000000028</v>
      </c>
      <c r="F60" s="95"/>
      <c r="H60" s="278" t="s">
        <v>430</v>
      </c>
      <c r="I60" s="232">
        <v>42496</v>
      </c>
      <c r="J60" s="239" t="s">
        <v>172</v>
      </c>
      <c r="K60" s="239" t="s">
        <v>432</v>
      </c>
      <c r="L60" s="239" t="s">
        <v>61</v>
      </c>
      <c r="M60" s="255"/>
      <c r="N60" s="255">
        <v>210</v>
      </c>
      <c r="O60" s="250">
        <f>IF(ISBLANK(CkReg15_16[[#This Row],[Withdrawal]]),O59+CkReg15_16[[#This Row],[Deposit]],O59-CkReg15_16[[#This Row],[Withdrawal]])</f>
        <v>6976.6699999999801</v>
      </c>
      <c r="P60" s="251">
        <v>42500</v>
      </c>
      <c r="Q60" s="250">
        <f>IF(ISBLANK(CkReg15_16[[#This Row],[Withdrawal]]),Q59+CkReg15_16[[#This Row],[Deposit]],Q59-CkReg15_16[[#This Row],[Withdrawal]])</f>
        <v>11976.670000000002</v>
      </c>
      <c r="R60" s="256"/>
    </row>
    <row r="61" spans="2:22" s="96" customFormat="1" ht="14.4" customHeight="1" thickTop="1" thickBot="1" x14ac:dyDescent="0.35">
      <c r="B61" s="221"/>
      <c r="C61" s="222"/>
      <c r="D61" s="222"/>
      <c r="E61" s="223"/>
      <c r="F61" s="95"/>
      <c r="H61" s="278" t="s">
        <v>421</v>
      </c>
      <c r="I61" s="232">
        <v>42499</v>
      </c>
      <c r="J61" s="239" t="s">
        <v>431</v>
      </c>
      <c r="K61" s="239" t="s">
        <v>433</v>
      </c>
      <c r="L61" s="239" t="s">
        <v>60</v>
      </c>
      <c r="M61" s="255"/>
      <c r="N61" s="255">
        <v>122</v>
      </c>
      <c r="O61" s="250">
        <f>IF(ISBLANK(CkReg15_16[[#This Row],[Withdrawal]]),O60+CkReg15_16[[#This Row],[Deposit]],O60-CkReg15_16[[#This Row],[Withdrawal]])</f>
        <v>7098.6699999999801</v>
      </c>
      <c r="P61" s="251">
        <v>42499</v>
      </c>
      <c r="Q61" s="250">
        <f>IF(ISBLANK(CkReg15_16[[#This Row],[Withdrawal]]),Q60+CkReg15_16[[#This Row],[Deposit]],Q60-CkReg15_16[[#This Row],[Withdrawal]])</f>
        <v>12098.670000000002</v>
      </c>
      <c r="R61" s="260"/>
    </row>
    <row r="62" spans="2:22" s="96" customFormat="1" ht="14.4" customHeight="1" x14ac:dyDescent="0.3">
      <c r="B62" s="199"/>
      <c r="C62" s="200"/>
      <c r="D62" s="200"/>
      <c r="E62" s="200"/>
      <c r="F62" s="95"/>
      <c r="H62" s="279"/>
      <c r="I62" s="233">
        <v>42521</v>
      </c>
      <c r="J62" s="241" t="s">
        <v>434</v>
      </c>
      <c r="K62" s="241"/>
      <c r="L62" s="241" t="s">
        <v>91</v>
      </c>
      <c r="M62" s="258"/>
      <c r="N62" s="258">
        <v>0.51</v>
      </c>
      <c r="O62" s="250">
        <f>IF(ISBLANK(CkReg15_16[[#This Row],[Withdrawal]]),O61+CkReg15_16[[#This Row],[Deposit]],O61-CkReg15_16[[#This Row],[Withdrawal]])</f>
        <v>7099.1799999999803</v>
      </c>
      <c r="P62" s="259">
        <v>42521</v>
      </c>
      <c r="Q62" s="250">
        <f>IF(ISBLANK(CkReg15_16[[#This Row],[Withdrawal]]),Q61+CkReg15_16[[#This Row],[Deposit]],Q61-CkReg15_16[[#This Row],[Withdrawal]])</f>
        <v>12099.180000000002</v>
      </c>
      <c r="R62" s="261">
        <v>42521</v>
      </c>
    </row>
    <row r="63" spans="2:22" s="96" customFormat="1" ht="14.4" customHeight="1" x14ac:dyDescent="0.3">
      <c r="B63" s="199"/>
      <c r="C63" s="200"/>
      <c r="D63" s="200"/>
      <c r="E63" s="199"/>
      <c r="F63" s="95"/>
      <c r="H63" s="278" t="s">
        <v>441</v>
      </c>
      <c r="I63" s="232">
        <v>42525</v>
      </c>
      <c r="J63" s="239" t="s">
        <v>448</v>
      </c>
      <c r="K63" s="239" t="s">
        <v>11</v>
      </c>
      <c r="L63" s="239" t="s">
        <v>69</v>
      </c>
      <c r="M63" s="255">
        <v>500</v>
      </c>
      <c r="N63" s="255"/>
      <c r="O63" s="250">
        <f>IF(ISBLANK(CkReg15_16[[#This Row],[Withdrawal]]),O62+CkReg15_16[[#This Row],[Deposit]],O62-CkReg15_16[[#This Row],[Withdrawal]])</f>
        <v>6599.1799999999803</v>
      </c>
      <c r="P63" s="251">
        <v>42543</v>
      </c>
      <c r="Q63" s="250">
        <f>IF(ISBLANK(CkReg15_16[[#This Row],[Withdrawal]]),Q62+CkReg15_16[[#This Row],[Deposit]],Q62-CkReg15_16[[#This Row],[Withdrawal]])</f>
        <v>11599.180000000002</v>
      </c>
      <c r="R63" s="262"/>
    </row>
    <row r="64" spans="2:22" s="96" customFormat="1" ht="13.95" customHeight="1" x14ac:dyDescent="0.3">
      <c r="B64" s="199"/>
      <c r="C64" s="200"/>
      <c r="D64" s="200"/>
      <c r="E64" s="199"/>
      <c r="H64" s="278" t="s">
        <v>442</v>
      </c>
      <c r="I64" s="232">
        <v>42525</v>
      </c>
      <c r="J64" s="239" t="s">
        <v>449</v>
      </c>
      <c r="K64" s="239" t="s">
        <v>450</v>
      </c>
      <c r="L64" s="239" t="s">
        <v>51</v>
      </c>
      <c r="M64" s="255">
        <v>80</v>
      </c>
      <c r="N64" s="255"/>
      <c r="O64" s="250">
        <f>IF(ISBLANK(CkReg15_16[[#This Row],[Withdrawal]]),O63+CkReg15_16[[#This Row],[Deposit]],O63-CkReg15_16[[#This Row],[Withdrawal]])</f>
        <v>6519.1799999999803</v>
      </c>
      <c r="P64" s="251">
        <v>42530</v>
      </c>
      <c r="Q64" s="250">
        <f>IF(ISBLANK(CkReg15_16[[#This Row],[Withdrawal]]),Q63+CkReg15_16[[#This Row],[Deposit]],Q63-CkReg15_16[[#This Row],[Withdrawal]])</f>
        <v>11519.180000000002</v>
      </c>
      <c r="R64" s="256"/>
    </row>
    <row r="65" spans="2:18" s="96" customFormat="1" ht="13.95" customHeight="1" x14ac:dyDescent="0.3">
      <c r="B65" s="199"/>
      <c r="C65" s="200"/>
      <c r="D65" s="200"/>
      <c r="E65" s="199"/>
      <c r="H65" s="278" t="s">
        <v>443</v>
      </c>
      <c r="I65" s="232">
        <v>42525</v>
      </c>
      <c r="J65" s="240" t="s">
        <v>451</v>
      </c>
      <c r="K65" s="240"/>
      <c r="L65" s="239" t="s">
        <v>63</v>
      </c>
      <c r="M65" s="255">
        <v>100</v>
      </c>
      <c r="N65" s="255"/>
      <c r="O65" s="250">
        <f>IF(ISBLANK(CkReg15_16[[#This Row],[Withdrawal]]),O64+CkReg15_16[[#This Row],[Deposit]],O64-CkReg15_16[[#This Row],[Withdrawal]])</f>
        <v>6419.1799999999803</v>
      </c>
      <c r="P65" s="251">
        <v>42530</v>
      </c>
      <c r="Q65" s="250">
        <f>IF(ISBLANK(CkReg15_16[[#This Row],[Withdrawal]]),Q64+CkReg15_16[[#This Row],[Deposit]],Q64-CkReg15_16[[#This Row],[Withdrawal]])</f>
        <v>11419.180000000002</v>
      </c>
      <c r="R65" s="256"/>
    </row>
    <row r="66" spans="2:18" s="96" customFormat="1" ht="13.95" customHeight="1" x14ac:dyDescent="0.3">
      <c r="C66" s="180"/>
      <c r="D66" s="180"/>
      <c r="H66" s="278" t="s">
        <v>444</v>
      </c>
      <c r="I66" s="232">
        <v>42525</v>
      </c>
      <c r="J66" s="239" t="s">
        <v>363</v>
      </c>
      <c r="K66" s="239" t="s">
        <v>452</v>
      </c>
      <c r="L66" s="239" t="s">
        <v>47</v>
      </c>
      <c r="M66" s="254">
        <v>14.06</v>
      </c>
      <c r="N66" s="254"/>
      <c r="O66" s="250">
        <f>IF(ISBLANK(CkReg15_16[[#This Row],[Withdrawal]]),O65+CkReg15_16[[#This Row],[Deposit]],O65-CkReg15_16[[#This Row],[Withdrawal]])</f>
        <v>6405.1199999999799</v>
      </c>
      <c r="P66" s="251">
        <v>42534</v>
      </c>
      <c r="Q66" s="250">
        <f>IF(ISBLANK(CkReg15_16[[#This Row],[Withdrawal]]),Q65+CkReg15_16[[#This Row],[Deposit]],Q65-CkReg15_16[[#This Row],[Withdrawal]])</f>
        <v>11405.120000000003</v>
      </c>
      <c r="R66" s="256"/>
    </row>
    <row r="67" spans="2:18" s="96" customFormat="1" ht="13.95" customHeight="1" x14ac:dyDescent="0.3">
      <c r="C67" s="180"/>
      <c r="D67" s="180"/>
      <c r="H67" s="278" t="s">
        <v>444</v>
      </c>
      <c r="I67" s="232">
        <v>42525</v>
      </c>
      <c r="J67" s="239" t="s">
        <v>363</v>
      </c>
      <c r="K67" s="239" t="s">
        <v>453</v>
      </c>
      <c r="L67" s="239" t="s">
        <v>52</v>
      </c>
      <c r="M67" s="254">
        <v>5.4</v>
      </c>
      <c r="N67" s="254"/>
      <c r="O67" s="250">
        <f>IF(ISBLANK(CkReg15_16[[#This Row],[Withdrawal]]),O66+CkReg15_16[[#This Row],[Deposit]],O66-CkReg15_16[[#This Row],[Withdrawal]])</f>
        <v>6399.7199999999802</v>
      </c>
      <c r="P67" s="251">
        <v>42534</v>
      </c>
      <c r="Q67" s="250">
        <f>IF(ISBLANK(CkReg15_16[[#This Row],[Withdrawal]]),Q66+CkReg15_16[[#This Row],[Deposit]],Q66-CkReg15_16[[#This Row],[Withdrawal]])</f>
        <v>11399.720000000003</v>
      </c>
      <c r="R67" s="256"/>
    </row>
    <row r="68" spans="2:18" s="96" customFormat="1" ht="13.95" customHeight="1" x14ac:dyDescent="0.3">
      <c r="C68" s="180"/>
      <c r="D68" s="180"/>
      <c r="H68" s="278" t="s">
        <v>445</v>
      </c>
      <c r="I68" s="232">
        <v>42525</v>
      </c>
      <c r="J68" s="239" t="s">
        <v>133</v>
      </c>
      <c r="K68" s="239" t="s">
        <v>454</v>
      </c>
      <c r="L68" s="239" t="s">
        <v>34</v>
      </c>
      <c r="M68" s="254">
        <v>62.5</v>
      </c>
      <c r="N68" s="254"/>
      <c r="O68" s="250">
        <f>IF(ISBLANK(CkReg15_16[[#This Row],[Withdrawal]]),O67+CkReg15_16[[#This Row],[Deposit]],O67-CkReg15_16[[#This Row],[Withdrawal]])</f>
        <v>6337.2199999999802</v>
      </c>
      <c r="P68" s="251">
        <v>42527</v>
      </c>
      <c r="Q68" s="250">
        <f>IF(ISBLANK(CkReg15_16[[#This Row],[Withdrawal]]),Q67+CkReg15_16[[#This Row],[Deposit]],Q67-CkReg15_16[[#This Row],[Withdrawal]])</f>
        <v>11337.220000000003</v>
      </c>
      <c r="R68" s="256"/>
    </row>
    <row r="69" spans="2:18" s="96" customFormat="1" ht="13.95" customHeight="1" x14ac:dyDescent="0.3">
      <c r="H69" s="278" t="s">
        <v>446</v>
      </c>
      <c r="I69" s="232">
        <v>42525</v>
      </c>
      <c r="J69" s="239" t="s">
        <v>362</v>
      </c>
      <c r="K69" s="239" t="s">
        <v>39</v>
      </c>
      <c r="L69" s="239" t="s">
        <v>39</v>
      </c>
      <c r="M69" s="254">
        <v>99.86</v>
      </c>
      <c r="N69" s="254"/>
      <c r="O69" s="250">
        <f>IF(ISBLANK(CkReg15_16[[#This Row],[Withdrawal]]),O68+CkReg15_16[[#This Row],[Deposit]],O68-CkReg15_16[[#This Row],[Withdrawal]])</f>
        <v>6237.3599999999806</v>
      </c>
      <c r="P69" s="251">
        <v>42529</v>
      </c>
      <c r="Q69" s="250">
        <f>IF(ISBLANK(CkReg15_16[[#This Row],[Withdrawal]]),Q68+CkReg15_16[[#This Row],[Deposit]],Q68-CkReg15_16[[#This Row],[Withdrawal]])</f>
        <v>11237.360000000002</v>
      </c>
      <c r="R69" s="256"/>
    </row>
    <row r="70" spans="2:18" s="96" customFormat="1" ht="13.95" customHeight="1" x14ac:dyDescent="0.3">
      <c r="H70" s="278" t="s">
        <v>447</v>
      </c>
      <c r="I70" s="232">
        <v>42525</v>
      </c>
      <c r="J70" s="239" t="s">
        <v>87</v>
      </c>
      <c r="K70" s="239" t="s">
        <v>87</v>
      </c>
      <c r="L70" s="239"/>
      <c r="M70" s="254"/>
      <c r="N70" s="254"/>
      <c r="O70" s="250">
        <f>IF(ISBLANK(CkReg15_16[[#This Row],[Withdrawal]]),O69+CkReg15_16[[#This Row],[Deposit]],O69-CkReg15_16[[#This Row],[Withdrawal]])</f>
        <v>6237.3599999999806</v>
      </c>
      <c r="P70" s="251">
        <v>42529</v>
      </c>
      <c r="Q70" s="250">
        <f>IF(ISBLANK(CkReg15_16[[#This Row],[Withdrawal]]),Q69+CkReg15_16[[#This Row],[Deposit]],Q69-CkReg15_16[[#This Row],[Withdrawal]])</f>
        <v>11237.360000000002</v>
      </c>
      <c r="R70" s="256"/>
    </row>
    <row r="71" spans="2:18" s="96" customFormat="1" ht="13.95" customHeight="1" x14ac:dyDescent="0.3">
      <c r="H71" s="278" t="s">
        <v>455</v>
      </c>
      <c r="I71" s="232">
        <v>42525</v>
      </c>
      <c r="J71" s="239" t="s">
        <v>396</v>
      </c>
      <c r="K71" s="239"/>
      <c r="L71" s="239" t="s">
        <v>32</v>
      </c>
      <c r="M71" s="254"/>
      <c r="N71" s="254">
        <v>125</v>
      </c>
      <c r="O71" s="250">
        <f>IF(ISBLANK(CkReg15_16[[#This Row],[Withdrawal]]),O70+CkReg15_16[[#This Row],[Deposit]],O70-CkReg15_16[[#This Row],[Withdrawal]])</f>
        <v>6362.3599999999806</v>
      </c>
      <c r="P71" s="251">
        <v>42527</v>
      </c>
      <c r="Q71" s="250">
        <f>IF(ISBLANK(CkReg15_16[[#This Row],[Withdrawal]]),Q70+CkReg15_16[[#This Row],[Deposit]],Q70-CkReg15_16[[#This Row],[Withdrawal]])</f>
        <v>11362.360000000002</v>
      </c>
      <c r="R71" s="256"/>
    </row>
    <row r="72" spans="2:18" s="96" customFormat="1" ht="13.95" customHeight="1" x14ac:dyDescent="0.3">
      <c r="H72" s="278" t="s">
        <v>456</v>
      </c>
      <c r="I72" s="232">
        <v>42525</v>
      </c>
      <c r="J72" s="239" t="s">
        <v>303</v>
      </c>
      <c r="K72" s="239"/>
      <c r="L72" s="239" t="s">
        <v>32</v>
      </c>
      <c r="M72" s="254"/>
      <c r="N72" s="254">
        <v>75</v>
      </c>
      <c r="O72" s="250">
        <f>IF(ISBLANK(CkReg15_16[[#This Row],[Withdrawal]]),O71+CkReg15_16[[#This Row],[Deposit]],O71-CkReg15_16[[#This Row],[Withdrawal]])</f>
        <v>6437.3599999999806</v>
      </c>
      <c r="P72" s="251">
        <v>42527</v>
      </c>
      <c r="Q72" s="250">
        <f>IF(ISBLANK(CkReg15_16[[#This Row],[Withdrawal]]),Q71+CkReg15_16[[#This Row],[Deposit]],Q71-CkReg15_16[[#This Row],[Withdrawal]])</f>
        <v>11437.360000000002</v>
      </c>
      <c r="R72" s="256"/>
    </row>
    <row r="73" spans="2:18" s="96" customFormat="1" ht="13.95" customHeight="1" x14ac:dyDescent="0.3">
      <c r="H73" s="278" t="s">
        <v>457</v>
      </c>
      <c r="I73" s="232">
        <v>42525</v>
      </c>
      <c r="J73" s="239" t="s">
        <v>393</v>
      </c>
      <c r="K73" s="239"/>
      <c r="L73" s="239" t="s">
        <v>32</v>
      </c>
      <c r="M73" s="254"/>
      <c r="N73" s="254">
        <v>25</v>
      </c>
      <c r="O73" s="250">
        <f>IF(ISBLANK(CkReg15_16[[#This Row],[Withdrawal]]),O72+CkReg15_16[[#This Row],[Deposit]],O72-CkReg15_16[[#This Row],[Withdrawal]])</f>
        <v>6462.3599999999806</v>
      </c>
      <c r="P73" s="251">
        <v>42527</v>
      </c>
      <c r="Q73" s="250">
        <f>IF(ISBLANK(CkReg15_16[[#This Row],[Withdrawal]]),Q72+CkReg15_16[[#This Row],[Deposit]],Q72-CkReg15_16[[#This Row],[Withdrawal]])</f>
        <v>11462.360000000002</v>
      </c>
      <c r="R73" s="256"/>
    </row>
    <row r="74" spans="2:18" s="96" customFormat="1" ht="13.95" customHeight="1" x14ac:dyDescent="0.3">
      <c r="H74" s="278" t="s">
        <v>458</v>
      </c>
      <c r="I74" s="232">
        <v>42525</v>
      </c>
      <c r="J74" s="239" t="s">
        <v>395</v>
      </c>
      <c r="K74" s="239"/>
      <c r="L74" s="239" t="s">
        <v>32</v>
      </c>
      <c r="M74" s="254"/>
      <c r="N74" s="254">
        <v>150</v>
      </c>
      <c r="O74" s="250">
        <f>IF(ISBLANK(CkReg15_16[[#This Row],[Withdrawal]]),O73+CkReg15_16[[#This Row],[Deposit]],O73-CkReg15_16[[#This Row],[Withdrawal]])</f>
        <v>6612.3599999999806</v>
      </c>
      <c r="P74" s="251">
        <v>42527</v>
      </c>
      <c r="Q74" s="250">
        <f>IF(ISBLANK(CkReg15_16[[#This Row],[Withdrawal]]),Q73+CkReg15_16[[#This Row],[Deposit]],Q73-CkReg15_16[[#This Row],[Withdrawal]])</f>
        <v>11612.360000000002</v>
      </c>
      <c r="R74" s="256"/>
    </row>
    <row r="75" spans="2:18" s="96" customFormat="1" ht="13.95" customHeight="1" x14ac:dyDescent="0.3">
      <c r="H75" s="278" t="s">
        <v>459</v>
      </c>
      <c r="I75" s="232">
        <v>42525</v>
      </c>
      <c r="J75" s="239" t="s">
        <v>397</v>
      </c>
      <c r="K75" s="239"/>
      <c r="L75" s="239" t="s">
        <v>32</v>
      </c>
      <c r="M75" s="254"/>
      <c r="N75" s="254">
        <v>40</v>
      </c>
      <c r="O75" s="250">
        <f>IF(ISBLANK(CkReg15_16[[#This Row],[Withdrawal]]),O74+CkReg15_16[[#This Row],[Deposit]],O74-CkReg15_16[[#This Row],[Withdrawal]])</f>
        <v>6652.3599999999806</v>
      </c>
      <c r="P75" s="251">
        <v>42527</v>
      </c>
      <c r="Q75" s="250">
        <f>IF(ISBLANK(CkReg15_16[[#This Row],[Withdrawal]]),Q74+CkReg15_16[[#This Row],[Deposit]],Q74-CkReg15_16[[#This Row],[Withdrawal]])</f>
        <v>11652.360000000002</v>
      </c>
      <c r="R75" s="256"/>
    </row>
    <row r="76" spans="2:18" s="96" customFormat="1" ht="13.95" customHeight="1" x14ac:dyDescent="0.3">
      <c r="H76" s="278"/>
      <c r="I76" s="232">
        <v>42551</v>
      </c>
      <c r="J76" s="240" t="s">
        <v>434</v>
      </c>
      <c r="K76" s="240"/>
      <c r="L76" s="239" t="s">
        <v>91</v>
      </c>
      <c r="M76" s="254"/>
      <c r="N76" s="254">
        <v>0.49</v>
      </c>
      <c r="O76" s="250">
        <f>IF(ISBLANK(CkReg15_16[[#This Row],[Withdrawal]]),O75+CkReg15_16[[#This Row],[Deposit]],O75-CkReg15_16[[#This Row],[Withdrawal]])</f>
        <v>6652.8499999999804</v>
      </c>
      <c r="P76" s="251">
        <v>42551</v>
      </c>
      <c r="Q76" s="250">
        <f>IF(ISBLANK(CkReg15_16[[#This Row],[Withdrawal]]),Q75+CkReg15_16[[#This Row],[Deposit]],Q75-CkReg15_16[[#This Row],[Withdrawal]])</f>
        <v>11652.850000000002</v>
      </c>
      <c r="R76" s="261">
        <v>42551</v>
      </c>
    </row>
    <row r="77" spans="2:18" s="96" customFormat="1" ht="13.95" customHeight="1" x14ac:dyDescent="0.3">
      <c r="H77" s="278"/>
      <c r="I77" s="232">
        <v>42552</v>
      </c>
      <c r="J77" s="239" t="s">
        <v>434</v>
      </c>
      <c r="K77" s="239"/>
      <c r="L77" s="239" t="s">
        <v>91</v>
      </c>
      <c r="M77" s="254"/>
      <c r="N77" s="254">
        <v>0.49</v>
      </c>
      <c r="O77" s="250">
        <f>IF(ISBLANK(CkReg15_16[[#This Row],[Withdrawal]]),O76+CkReg15_16[[#This Row],[Deposit]],O76-CkReg15_16[[#This Row],[Withdrawal]])</f>
        <v>6653.3399999999801</v>
      </c>
      <c r="P77" s="251">
        <v>42582</v>
      </c>
      <c r="Q77" s="250">
        <f>IF(ISBLANK(CkReg15_16[[#This Row],[Withdrawal]]),Q76+CkReg15_16[[#This Row],[Deposit]],Q76-CkReg15_16[[#This Row],[Withdrawal]])</f>
        <v>11653.340000000002</v>
      </c>
      <c r="R77" s="261">
        <v>42582</v>
      </c>
    </row>
    <row r="78" spans="2:18" s="96" customFormat="1" ht="13.95" customHeight="1" x14ac:dyDescent="0.3">
      <c r="H78" s="278" t="s">
        <v>463</v>
      </c>
      <c r="I78" s="232">
        <v>42588</v>
      </c>
      <c r="J78" s="239" t="s">
        <v>133</v>
      </c>
      <c r="K78" s="239" t="s">
        <v>412</v>
      </c>
      <c r="L78" s="239" t="s">
        <v>49</v>
      </c>
      <c r="M78" s="254">
        <v>50</v>
      </c>
      <c r="N78" s="254"/>
      <c r="O78" s="250">
        <f>IF(ISBLANK(CkReg15_16[[#This Row],[Withdrawal]]),O77+CkReg15_16[[#This Row],[Deposit]],O77-CkReg15_16[[#This Row],[Withdrawal]])</f>
        <v>6603.3399999999801</v>
      </c>
      <c r="P78" s="251">
        <v>42606</v>
      </c>
      <c r="Q78" s="250">
        <f>IF(ISBLANK(CkReg15_16[[#This Row],[Withdrawal]]),Q77+CkReg15_16[[#This Row],[Deposit]],Q77-CkReg15_16[[#This Row],[Withdrawal]])</f>
        <v>11603.340000000002</v>
      </c>
      <c r="R78" s="256"/>
    </row>
    <row r="79" spans="2:18" s="96" customFormat="1" ht="13.95" customHeight="1" x14ac:dyDescent="0.3">
      <c r="H79" s="278" t="s">
        <v>464</v>
      </c>
      <c r="I79" s="232">
        <v>42588</v>
      </c>
      <c r="J79" s="239" t="s">
        <v>449</v>
      </c>
      <c r="K79" s="239"/>
      <c r="L79" s="239" t="s">
        <v>67</v>
      </c>
      <c r="M79" s="254">
        <v>12.49</v>
      </c>
      <c r="N79" s="254"/>
      <c r="O79" s="250">
        <f>IF(ISBLANK(CkReg15_16[[#This Row],[Withdrawal]]),O78+CkReg15_16[[#This Row],[Deposit]],O78-CkReg15_16[[#This Row],[Withdrawal]])</f>
        <v>6590.8499999999804</v>
      </c>
      <c r="P79" s="251">
        <v>42598</v>
      </c>
      <c r="Q79" s="250">
        <f>IF(ISBLANK(CkReg15_16[[#This Row],[Withdrawal]]),Q78+CkReg15_16[[#This Row],[Deposit]],Q78-CkReg15_16[[#This Row],[Withdrawal]])</f>
        <v>11590.850000000002</v>
      </c>
      <c r="R79" s="256"/>
    </row>
    <row r="80" spans="2:18" s="96" customFormat="1" ht="13.95" customHeight="1" x14ac:dyDescent="0.3">
      <c r="H80" s="278" t="s">
        <v>464</v>
      </c>
      <c r="I80" s="232">
        <v>42588</v>
      </c>
      <c r="J80" s="239" t="s">
        <v>449</v>
      </c>
      <c r="K80" s="239" t="s">
        <v>465</v>
      </c>
      <c r="L80" s="239" t="s">
        <v>67</v>
      </c>
      <c r="M80" s="254">
        <v>200</v>
      </c>
      <c r="N80" s="254"/>
      <c r="O80" s="250">
        <f>IF(ISBLANK(CkReg15_16[[#This Row],[Withdrawal]]),O79+CkReg15_16[[#This Row],[Deposit]],O79-CkReg15_16[[#This Row],[Withdrawal]])</f>
        <v>6390.8499999999804</v>
      </c>
      <c r="P80" s="251">
        <v>42598</v>
      </c>
      <c r="Q80" s="250">
        <f>IF(ISBLANK(CkReg15_16[[#This Row],[Withdrawal]]),Q79+CkReg15_16[[#This Row],[Deposit]],Q79-CkReg15_16[[#This Row],[Withdrawal]])</f>
        <v>11390.850000000002</v>
      </c>
      <c r="R80" s="256"/>
    </row>
    <row r="81" spans="8:18" s="96" customFormat="1" ht="13.95" customHeight="1" x14ac:dyDescent="0.3">
      <c r="H81" s="278" t="s">
        <v>466</v>
      </c>
      <c r="I81" s="232">
        <v>42588</v>
      </c>
      <c r="J81" s="239" t="s">
        <v>467</v>
      </c>
      <c r="K81" s="239" t="s">
        <v>468</v>
      </c>
      <c r="L81" s="239" t="s">
        <v>67</v>
      </c>
      <c r="M81" s="254">
        <v>3098.31</v>
      </c>
      <c r="N81" s="254"/>
      <c r="O81" s="250">
        <f>IF(ISBLANK(CkReg15_16[[#This Row],[Withdrawal]]),O80+CkReg15_16[[#This Row],[Deposit]],O80-CkReg15_16[[#This Row],[Withdrawal]])</f>
        <v>3292.5399999999804</v>
      </c>
      <c r="P81" s="251">
        <v>42598</v>
      </c>
      <c r="Q81" s="250">
        <f>IF(ISBLANK(CkReg15_16[[#This Row],[Withdrawal]]),Q80+CkReg15_16[[#This Row],[Deposit]],Q80-CkReg15_16[[#This Row],[Withdrawal]])</f>
        <v>8292.5400000000027</v>
      </c>
      <c r="R81" s="256"/>
    </row>
    <row r="82" spans="8:18" s="96" customFormat="1" ht="13.95" customHeight="1" x14ac:dyDescent="0.3">
      <c r="H82" s="278" t="s">
        <v>469</v>
      </c>
      <c r="I82" s="232">
        <v>42588</v>
      </c>
      <c r="J82" s="239" t="s">
        <v>128</v>
      </c>
      <c r="K82" s="239"/>
      <c r="L82" s="239" t="s">
        <v>62</v>
      </c>
      <c r="M82" s="254">
        <v>100</v>
      </c>
      <c r="N82" s="254"/>
      <c r="O82" s="250">
        <f>IF(ISBLANK(CkReg15_16[[#This Row],[Withdrawal]]),O81+CkReg15_16[[#This Row],[Deposit]],O81-CkReg15_16[[#This Row],[Withdrawal]])</f>
        <v>3192.5399999999804</v>
      </c>
      <c r="P82" s="251">
        <v>42612</v>
      </c>
      <c r="Q82" s="250">
        <f>IF(ISBLANK(CkReg15_16[[#This Row],[Withdrawal]]),Q81+CkReg15_16[[#This Row],[Deposit]],Q81-CkReg15_16[[#This Row],[Withdrawal]])</f>
        <v>8192.5400000000027</v>
      </c>
      <c r="R82" s="256"/>
    </row>
    <row r="83" spans="8:18" s="96" customFormat="1" ht="13.95" customHeight="1" x14ac:dyDescent="0.3">
      <c r="H83" s="278" t="s">
        <v>470</v>
      </c>
      <c r="I83" s="232">
        <v>42588</v>
      </c>
      <c r="J83" s="239" t="s">
        <v>79</v>
      </c>
      <c r="K83" s="239" t="s">
        <v>410</v>
      </c>
      <c r="L83" s="239" t="s">
        <v>390</v>
      </c>
      <c r="M83" s="254">
        <v>240.64</v>
      </c>
      <c r="N83" s="254"/>
      <c r="O83" s="250">
        <f>IF(ISBLANK(CkReg15_16[[#This Row],[Withdrawal]]),O82+CkReg15_16[[#This Row],[Deposit]],O82-CkReg15_16[[#This Row],[Withdrawal]])</f>
        <v>2951.8999999999805</v>
      </c>
      <c r="P83" s="251">
        <v>42600</v>
      </c>
      <c r="Q83" s="250">
        <f>IF(ISBLANK(CkReg15_16[[#This Row],[Withdrawal]]),Q82+CkReg15_16[[#This Row],[Deposit]],Q82-CkReg15_16[[#This Row],[Withdrawal]])</f>
        <v>7951.9000000000024</v>
      </c>
      <c r="R83" s="256"/>
    </row>
    <row r="84" spans="8:18" s="96" customFormat="1" ht="13.95" customHeight="1" x14ac:dyDescent="0.3">
      <c r="H84" s="278" t="s">
        <v>471</v>
      </c>
      <c r="I84" s="232">
        <v>42588</v>
      </c>
      <c r="J84" s="240" t="s">
        <v>156</v>
      </c>
      <c r="K84" s="240" t="s">
        <v>472</v>
      </c>
      <c r="L84" s="239" t="s">
        <v>67</v>
      </c>
      <c r="M84" s="254">
        <v>199.95</v>
      </c>
      <c r="N84" s="254"/>
      <c r="O84" s="250">
        <f>IF(ISBLANK(CkReg15_16[[#This Row],[Withdrawal]]),O83+CkReg15_16[[#This Row],[Deposit]],O83-CkReg15_16[[#This Row],[Withdrawal]])</f>
        <v>2751.9499999999807</v>
      </c>
      <c r="P84" s="251">
        <v>42597</v>
      </c>
      <c r="Q84" s="250">
        <f>IF(ISBLANK(CkReg15_16[[#This Row],[Withdrawal]]),Q83+CkReg15_16[[#This Row],[Deposit]],Q83-CkReg15_16[[#This Row],[Withdrawal]])</f>
        <v>7751.9500000000025</v>
      </c>
      <c r="R84" s="256"/>
    </row>
    <row r="85" spans="8:18" s="96" customFormat="1" ht="13.95" customHeight="1" x14ac:dyDescent="0.3">
      <c r="H85" s="278" t="s">
        <v>473</v>
      </c>
      <c r="I85" s="232">
        <v>42588</v>
      </c>
      <c r="J85" s="239" t="s">
        <v>131</v>
      </c>
      <c r="K85" s="239"/>
      <c r="L85" s="239" t="s">
        <v>64</v>
      </c>
      <c r="M85" s="254">
        <v>50</v>
      </c>
      <c r="N85" s="254"/>
      <c r="O85" s="250">
        <f>IF(ISBLANK(CkReg15_16[[#This Row],[Withdrawal]]),O84+CkReg15_16[[#This Row],[Deposit]],O84-CkReg15_16[[#This Row],[Withdrawal]])</f>
        <v>2701.9499999999807</v>
      </c>
      <c r="P85" s="251">
        <v>42622</v>
      </c>
      <c r="Q85" s="250">
        <f>IF(ISBLANK(CkReg15_16[[#This Row],[Withdrawal]]),Q84+CkReg15_16[[#This Row],[Deposit]],Q84-CkReg15_16[[#This Row],[Withdrawal]])</f>
        <v>7701.9500000000025</v>
      </c>
      <c r="R85" s="256"/>
    </row>
    <row r="86" spans="8:18" s="96" customFormat="1" ht="13.95" customHeight="1" x14ac:dyDescent="0.3">
      <c r="H86" s="278" t="s">
        <v>474</v>
      </c>
      <c r="I86" s="232">
        <v>42588</v>
      </c>
      <c r="J86" s="239" t="s">
        <v>449</v>
      </c>
      <c r="K86" s="239" t="s">
        <v>475</v>
      </c>
      <c r="L86" s="239" t="s">
        <v>51</v>
      </c>
      <c r="M86" s="254">
        <v>80</v>
      </c>
      <c r="N86" s="254"/>
      <c r="O86" s="250">
        <f>IF(ISBLANK(CkReg15_16[[#This Row],[Withdrawal]]),O85+CkReg15_16[[#This Row],[Deposit]],O85-CkReg15_16[[#This Row],[Withdrawal]])</f>
        <v>2621.9499999999807</v>
      </c>
      <c r="P86" s="251">
        <v>42594</v>
      </c>
      <c r="Q86" s="250">
        <f>IF(ISBLANK(CkReg15_16[[#This Row],[Withdrawal]]),Q85+CkReg15_16[[#This Row],[Deposit]],Q85-CkReg15_16[[#This Row],[Withdrawal]])</f>
        <v>7621.9500000000025</v>
      </c>
      <c r="R86" s="256"/>
    </row>
    <row r="87" spans="8:18" s="96" customFormat="1" ht="13.95" customHeight="1" x14ac:dyDescent="0.3">
      <c r="H87" s="278" t="s">
        <v>476</v>
      </c>
      <c r="I87" s="232">
        <v>42588</v>
      </c>
      <c r="J87" s="239" t="s">
        <v>363</v>
      </c>
      <c r="K87" s="239" t="s">
        <v>477</v>
      </c>
      <c r="L87" s="239" t="s">
        <v>66</v>
      </c>
      <c r="M87" s="254">
        <v>400</v>
      </c>
      <c r="N87" s="254"/>
      <c r="O87" s="250">
        <f>IF(ISBLANK(CkReg15_16[[#This Row],[Withdrawal]]),O86+CkReg15_16[[#This Row],[Deposit]],O86-CkReg15_16[[#This Row],[Withdrawal]])</f>
        <v>2221.9499999999807</v>
      </c>
      <c r="P87" s="251">
        <v>42600</v>
      </c>
      <c r="Q87" s="250">
        <f>IF(ISBLANK(CkReg15_16[[#This Row],[Withdrawal]]),Q86+CkReg15_16[[#This Row],[Deposit]],Q86-CkReg15_16[[#This Row],[Withdrawal]])</f>
        <v>7221.9500000000025</v>
      </c>
      <c r="R87" s="256"/>
    </row>
    <row r="88" spans="8:18" s="96" customFormat="1" ht="13.95" customHeight="1" x14ac:dyDescent="0.3">
      <c r="H88" s="278" t="s">
        <v>476</v>
      </c>
      <c r="I88" s="232">
        <v>42588</v>
      </c>
      <c r="J88" s="239" t="s">
        <v>363</v>
      </c>
      <c r="K88" s="239" t="s">
        <v>412</v>
      </c>
      <c r="L88" s="239" t="s">
        <v>52</v>
      </c>
      <c r="M88" s="254">
        <v>12.95</v>
      </c>
      <c r="N88" s="254"/>
      <c r="O88" s="250">
        <f>IF(ISBLANK(CkReg15_16[[#This Row],[Withdrawal]]),O87+CkReg15_16[[#This Row],[Deposit]],O87-CkReg15_16[[#This Row],[Withdrawal]])</f>
        <v>2208.9999999999809</v>
      </c>
      <c r="P88" s="251">
        <v>42600</v>
      </c>
      <c r="Q88" s="250">
        <f>IF(ISBLANK(CkReg15_16[[#This Row],[Withdrawal]]),Q87+CkReg15_16[[#This Row],[Deposit]],Q87-CkReg15_16[[#This Row],[Withdrawal]])</f>
        <v>7209.0000000000027</v>
      </c>
      <c r="R88" s="256"/>
    </row>
    <row r="89" spans="8:18" s="96" customFormat="1" ht="13.95" customHeight="1" x14ac:dyDescent="0.3">
      <c r="H89" s="278" t="s">
        <v>478</v>
      </c>
      <c r="I89" s="232">
        <v>42588</v>
      </c>
      <c r="J89" s="240" t="s">
        <v>172</v>
      </c>
      <c r="K89" s="240" t="s">
        <v>479</v>
      </c>
      <c r="L89" s="239" t="s">
        <v>34</v>
      </c>
      <c r="M89" s="254">
        <v>75</v>
      </c>
      <c r="N89" s="254"/>
      <c r="O89" s="250">
        <f>IF(ISBLANK(CkReg15_16[[#This Row],[Withdrawal]]),O88+CkReg15_16[[#This Row],[Deposit]],O88-CkReg15_16[[#This Row],[Withdrawal]])</f>
        <v>2133.9999999999809</v>
      </c>
      <c r="P89" s="251">
        <v>42608</v>
      </c>
      <c r="Q89" s="250">
        <f>IF(ISBLANK(CkReg15_16[[#This Row],[Withdrawal]]),Q88+CkReg15_16[[#This Row],[Deposit]],Q88-CkReg15_16[[#This Row],[Withdrawal]])</f>
        <v>7134.0000000000027</v>
      </c>
      <c r="R89" s="256"/>
    </row>
    <row r="90" spans="8:18" s="96" customFormat="1" ht="13.8" x14ac:dyDescent="0.3">
      <c r="H90" s="278" t="s">
        <v>480</v>
      </c>
      <c r="I90" s="232">
        <v>42588</v>
      </c>
      <c r="J90" s="239" t="s">
        <v>92</v>
      </c>
      <c r="K90" s="239" t="s">
        <v>481</v>
      </c>
      <c r="L90" s="239" t="s">
        <v>43</v>
      </c>
      <c r="M90" s="254">
        <v>150</v>
      </c>
      <c r="N90" s="254"/>
      <c r="O90" s="250">
        <f>IF(ISBLANK(CkReg15_16[[#This Row],[Withdrawal]]),O89+CkReg15_16[[#This Row],[Deposit]],O89-CkReg15_16[[#This Row],[Withdrawal]])</f>
        <v>1983.9999999999809</v>
      </c>
      <c r="P90" s="251">
        <v>42655</v>
      </c>
      <c r="Q90" s="250">
        <f>IF(ISBLANK(CkReg15_16[[#This Row],[Withdrawal]]),Q89+CkReg15_16[[#This Row],[Deposit]],Q89-CkReg15_16[[#This Row],[Withdrawal]])</f>
        <v>6984.0000000000027</v>
      </c>
      <c r="R90" s="256"/>
    </row>
    <row r="91" spans="8:18" s="96" customFormat="1" ht="13.95" customHeight="1" x14ac:dyDescent="0.3">
      <c r="H91" s="278" t="s">
        <v>483</v>
      </c>
      <c r="I91" s="232">
        <v>42588</v>
      </c>
      <c r="J91" s="239" t="s">
        <v>172</v>
      </c>
      <c r="K91" s="239" t="s">
        <v>482</v>
      </c>
      <c r="L91" s="239" t="s">
        <v>391</v>
      </c>
      <c r="M91" s="254">
        <v>150</v>
      </c>
      <c r="N91" s="254"/>
      <c r="O91" s="250">
        <f>IF(ISBLANK(CkReg15_16[[#This Row],[Withdrawal]]),O90+CkReg15_16[[#This Row],[Deposit]],O90-CkReg15_16[[#This Row],[Withdrawal]])</f>
        <v>1833.9999999999809</v>
      </c>
      <c r="P91" s="251">
        <v>42608</v>
      </c>
      <c r="Q91" s="250">
        <f>IF(ISBLANK(CkReg15_16[[#This Row],[Withdrawal]]),Q90+CkReg15_16[[#This Row],[Deposit]],Q90-CkReg15_16[[#This Row],[Withdrawal]])</f>
        <v>6834.0000000000027</v>
      </c>
      <c r="R91" s="256"/>
    </row>
    <row r="92" spans="8:18" s="96" customFormat="1" ht="13.95" customHeight="1" x14ac:dyDescent="0.3">
      <c r="H92" s="278" t="s">
        <v>495</v>
      </c>
      <c r="I92" s="232">
        <v>42588</v>
      </c>
      <c r="J92" s="239" t="s">
        <v>395</v>
      </c>
      <c r="K92" s="239"/>
      <c r="L92" s="239" t="s">
        <v>32</v>
      </c>
      <c r="M92" s="254"/>
      <c r="N92" s="254">
        <v>16.66</v>
      </c>
      <c r="O92" s="250">
        <f>IF(ISBLANK(CkReg15_16[[#This Row],[Withdrawal]]),O91+CkReg15_16[[#This Row],[Deposit]],O91-CkReg15_16[[#This Row],[Withdrawal]])</f>
        <v>1850.659999999981</v>
      </c>
      <c r="P92" s="251">
        <v>42594</v>
      </c>
      <c r="Q92" s="250">
        <f>IF(ISBLANK(CkReg15_16[[#This Row],[Withdrawal]]),Q91+CkReg15_16[[#This Row],[Deposit]],Q91-CkReg15_16[[#This Row],[Withdrawal]])</f>
        <v>6850.6600000000026</v>
      </c>
      <c r="R92" s="263"/>
    </row>
    <row r="93" spans="8:18" s="96" customFormat="1" ht="13.95" customHeight="1" x14ac:dyDescent="0.3">
      <c r="H93" s="278" t="s">
        <v>496</v>
      </c>
      <c r="I93" s="232">
        <v>42588</v>
      </c>
      <c r="J93" s="239" t="s">
        <v>396</v>
      </c>
      <c r="K93" s="239"/>
      <c r="L93" s="239" t="s">
        <v>32</v>
      </c>
      <c r="M93" s="254"/>
      <c r="N93" s="254">
        <v>75</v>
      </c>
      <c r="O93" s="250">
        <f>IF(ISBLANK(CkReg15_16[[#This Row],[Withdrawal]]),O92+CkReg15_16[[#This Row],[Deposit]],O92-CkReg15_16[[#This Row],[Withdrawal]])</f>
        <v>1925.659999999981</v>
      </c>
      <c r="P93" s="251">
        <v>42594</v>
      </c>
      <c r="Q93" s="250">
        <f>IF(ISBLANK(CkReg15_16[[#This Row],[Withdrawal]]),Q92+CkReg15_16[[#This Row],[Deposit]],Q92-CkReg15_16[[#This Row],[Withdrawal]])</f>
        <v>6925.6600000000026</v>
      </c>
      <c r="R93" s="263"/>
    </row>
    <row r="94" spans="8:18" s="96" customFormat="1" ht="13.95" customHeight="1" x14ac:dyDescent="0.3">
      <c r="H94" s="278" t="s">
        <v>497</v>
      </c>
      <c r="I94" s="232">
        <v>42588</v>
      </c>
      <c r="J94" s="239" t="s">
        <v>392</v>
      </c>
      <c r="K94" s="239"/>
      <c r="L94" s="239" t="s">
        <v>32</v>
      </c>
      <c r="M94" s="254"/>
      <c r="N94" s="254">
        <v>30</v>
      </c>
      <c r="O94" s="250">
        <f>IF(ISBLANK(CkReg15_16[[#This Row],[Withdrawal]]),O93+CkReg15_16[[#This Row],[Deposit]],O93-CkReg15_16[[#This Row],[Withdrawal]])</f>
        <v>1955.659999999981</v>
      </c>
      <c r="P94" s="251">
        <v>42594</v>
      </c>
      <c r="Q94" s="250">
        <f>IF(ISBLANK(CkReg15_16[[#This Row],[Withdrawal]]),Q93+CkReg15_16[[#This Row],[Deposit]],Q93-CkReg15_16[[#This Row],[Withdrawal]])</f>
        <v>6955.6600000000026</v>
      </c>
      <c r="R94" s="263"/>
    </row>
    <row r="95" spans="8:18" s="96" customFormat="1" ht="13.95" customHeight="1" x14ac:dyDescent="0.3">
      <c r="H95" s="278" t="s">
        <v>498</v>
      </c>
      <c r="I95" s="232">
        <v>42588</v>
      </c>
      <c r="J95" s="239" t="s">
        <v>394</v>
      </c>
      <c r="K95" s="239"/>
      <c r="L95" s="239" t="s">
        <v>32</v>
      </c>
      <c r="M95" s="254"/>
      <c r="N95" s="254">
        <v>20</v>
      </c>
      <c r="O95" s="250">
        <f>IF(ISBLANK(CkReg15_16[[#This Row],[Withdrawal]]),O94+CkReg15_16[[#This Row],[Deposit]],O94-CkReg15_16[[#This Row],[Withdrawal]])</f>
        <v>1975.659999999981</v>
      </c>
      <c r="P95" s="251">
        <v>42594</v>
      </c>
      <c r="Q95" s="250">
        <f>IF(ISBLANK(CkReg15_16[[#This Row],[Withdrawal]]),Q94+CkReg15_16[[#This Row],[Deposit]],Q94-CkReg15_16[[#This Row],[Withdrawal]])</f>
        <v>6975.6600000000026</v>
      </c>
      <c r="R95" s="263"/>
    </row>
    <row r="96" spans="8:18" s="96" customFormat="1" ht="13.95" customHeight="1" x14ac:dyDescent="0.3">
      <c r="H96" s="278" t="s">
        <v>499</v>
      </c>
      <c r="I96" s="232">
        <v>42588</v>
      </c>
      <c r="J96" s="239" t="s">
        <v>397</v>
      </c>
      <c r="K96" s="239"/>
      <c r="L96" s="239" t="s">
        <v>32</v>
      </c>
      <c r="M96" s="254"/>
      <c r="N96" s="254">
        <v>25</v>
      </c>
      <c r="O96" s="250">
        <f>IF(ISBLANK(CkReg15_16[[#This Row],[Withdrawal]]),O95+CkReg15_16[[#This Row],[Deposit]],O95-CkReg15_16[[#This Row],[Withdrawal]])</f>
        <v>2000.659999999981</v>
      </c>
      <c r="P96" s="251">
        <v>42594</v>
      </c>
      <c r="Q96" s="250">
        <f>IF(ISBLANK(CkReg15_16[[#This Row],[Withdrawal]]),Q95+CkReg15_16[[#This Row],[Deposit]],Q95-CkReg15_16[[#This Row],[Withdrawal]])</f>
        <v>7000.6600000000026</v>
      </c>
      <c r="R96" s="263"/>
    </row>
    <row r="97" spans="8:18" s="96" customFormat="1" ht="13.95" customHeight="1" x14ac:dyDescent="0.3">
      <c r="H97" s="278" t="s">
        <v>484</v>
      </c>
      <c r="I97" s="232">
        <v>42597</v>
      </c>
      <c r="J97" s="239" t="s">
        <v>451</v>
      </c>
      <c r="K97" s="239"/>
      <c r="L97" s="239" t="s">
        <v>65</v>
      </c>
      <c r="M97" s="254">
        <v>50</v>
      </c>
      <c r="N97" s="254"/>
      <c r="O97" s="250">
        <f>IF(ISBLANK(CkReg15_16[[#This Row],[Withdrawal]]),O96+CkReg15_16[[#This Row],[Deposit]],O96-CkReg15_16[[#This Row],[Withdrawal]])</f>
        <v>1950.659999999981</v>
      </c>
      <c r="P97" s="251">
        <v>42620</v>
      </c>
      <c r="Q97" s="250">
        <f>IF(ISBLANK(CkReg15_16[[#This Row],[Withdrawal]]),Q96+CkReg15_16[[#This Row],[Deposit]],Q96-CkReg15_16[[#This Row],[Withdrawal]])</f>
        <v>6950.6600000000026</v>
      </c>
      <c r="R97" s="256"/>
    </row>
    <row r="98" spans="8:18" s="96" customFormat="1" ht="13.95" customHeight="1" x14ac:dyDescent="0.3">
      <c r="H98" s="278" t="s">
        <v>485</v>
      </c>
      <c r="I98" s="232">
        <v>42597</v>
      </c>
      <c r="J98" s="239" t="s">
        <v>431</v>
      </c>
      <c r="K98" s="239" t="s">
        <v>486</v>
      </c>
      <c r="L98" s="239" t="s">
        <v>74</v>
      </c>
      <c r="M98" s="254">
        <v>200</v>
      </c>
      <c r="N98" s="254"/>
      <c r="O98" s="250">
        <f>IF(ISBLANK(CkReg15_16[[#This Row],[Withdrawal]]),O97+CkReg15_16[[#This Row],[Deposit]],O97-CkReg15_16[[#This Row],[Withdrawal]])</f>
        <v>1750.659999999981</v>
      </c>
      <c r="P98" s="251">
        <v>42625</v>
      </c>
      <c r="Q98" s="250">
        <f>IF(ISBLANK(CkReg15_16[[#This Row],[Withdrawal]]),Q97+CkReg15_16[[#This Row],[Deposit]],Q97-CkReg15_16[[#This Row],[Withdrawal]])</f>
        <v>6750.6600000000026</v>
      </c>
      <c r="R98" s="256"/>
    </row>
    <row r="99" spans="8:18" s="96" customFormat="1" ht="13.95" customHeight="1" x14ac:dyDescent="0.3">
      <c r="H99" s="278" t="s">
        <v>487</v>
      </c>
      <c r="I99" s="232">
        <v>42597</v>
      </c>
      <c r="J99" s="239" t="s">
        <v>172</v>
      </c>
      <c r="K99" s="239" t="s">
        <v>488</v>
      </c>
      <c r="L99" s="239" t="s">
        <v>70</v>
      </c>
      <c r="M99" s="254">
        <v>21.24</v>
      </c>
      <c r="N99" s="254"/>
      <c r="O99" s="250">
        <f>IF(ISBLANK(CkReg15_16[[#This Row],[Withdrawal]]),O98+CkReg15_16[[#This Row],[Deposit]],O98-CkReg15_16[[#This Row],[Withdrawal]])</f>
        <v>1729.419999999981</v>
      </c>
      <c r="P99" s="251">
        <v>42608</v>
      </c>
      <c r="Q99" s="250">
        <f>IF(ISBLANK(CkReg15_16[[#This Row],[Withdrawal]]),Q98+CkReg15_16[[#This Row],[Deposit]],Q98-CkReg15_16[[#This Row],[Withdrawal]])</f>
        <v>6729.4200000000028</v>
      </c>
      <c r="R99" s="256"/>
    </row>
    <row r="100" spans="8:18" s="96" customFormat="1" ht="13.95" customHeight="1" x14ac:dyDescent="0.3">
      <c r="H100" s="278" t="s">
        <v>487</v>
      </c>
      <c r="I100" s="232">
        <v>42597</v>
      </c>
      <c r="J100" s="239" t="s">
        <v>172</v>
      </c>
      <c r="K100" s="239" t="s">
        <v>489</v>
      </c>
      <c r="L100" s="239" t="s">
        <v>70</v>
      </c>
      <c r="M100" s="254">
        <v>28.37</v>
      </c>
      <c r="N100" s="254"/>
      <c r="O100" s="250">
        <f>IF(ISBLANK(CkReg15_16[[#This Row],[Withdrawal]]),O99+CkReg15_16[[#This Row],[Deposit]],O99-CkReg15_16[[#This Row],[Withdrawal]])</f>
        <v>1701.0499999999811</v>
      </c>
      <c r="P100" s="251">
        <v>42608</v>
      </c>
      <c r="Q100" s="250">
        <f>IF(ISBLANK(CkReg15_16[[#This Row],[Withdrawal]]),Q99+CkReg15_16[[#This Row],[Deposit]],Q99-CkReg15_16[[#This Row],[Withdrawal]])</f>
        <v>6701.0500000000029</v>
      </c>
      <c r="R100" s="256"/>
    </row>
    <row r="101" spans="8:18" s="96" customFormat="1" ht="13.95" customHeight="1" x14ac:dyDescent="0.3">
      <c r="H101" s="280"/>
      <c r="I101" s="234">
        <v>42613</v>
      </c>
      <c r="J101" s="242" t="s">
        <v>434</v>
      </c>
      <c r="K101" s="242" t="s">
        <v>434</v>
      </c>
      <c r="L101" s="242" t="s">
        <v>91</v>
      </c>
      <c r="M101" s="264"/>
      <c r="N101" s="264">
        <v>0.4</v>
      </c>
      <c r="O101" s="250">
        <f>IF(ISBLANK(CkReg15_16[[#This Row],[Withdrawal]]),O100+CkReg15_16[[#This Row],[Deposit]],O100-CkReg15_16[[#This Row],[Withdrawal]])</f>
        <v>1701.4499999999812</v>
      </c>
      <c r="P101" s="265">
        <v>42613</v>
      </c>
      <c r="Q101" s="250">
        <f>IF(ISBLANK(CkReg15_16[[#This Row],[Withdrawal]]),Q100+CkReg15_16[[#This Row],[Deposit]],Q100-CkReg15_16[[#This Row],[Withdrawal]])</f>
        <v>6701.4500000000025</v>
      </c>
      <c r="R101" s="266">
        <v>42613</v>
      </c>
    </row>
    <row r="102" spans="8:18" s="96" customFormat="1" ht="13.95" customHeight="1" x14ac:dyDescent="0.3">
      <c r="H102" s="278" t="s">
        <v>490</v>
      </c>
      <c r="I102" s="232">
        <v>42625</v>
      </c>
      <c r="J102" s="239" t="s">
        <v>137</v>
      </c>
      <c r="K102" s="239" t="s">
        <v>491</v>
      </c>
      <c r="L102" s="239" t="s">
        <v>68</v>
      </c>
      <c r="M102" s="254">
        <v>300</v>
      </c>
      <c r="N102" s="254"/>
      <c r="O102" s="250">
        <f>IF(ISBLANK(CkReg15_16[[#This Row],[Withdrawal]]),O101+CkReg15_16[[#This Row],[Deposit]],O101-CkReg15_16[[#This Row],[Withdrawal]])</f>
        <v>1401.4499999999812</v>
      </c>
      <c r="P102" s="251">
        <v>42627</v>
      </c>
      <c r="Q102" s="250">
        <f>IF(ISBLANK(CkReg15_16[[#This Row],[Withdrawal]]),Q101+CkReg15_16[[#This Row],[Deposit]],Q101-CkReg15_16[[#This Row],[Withdrawal]])</f>
        <v>6401.4500000000025</v>
      </c>
      <c r="R102" s="256"/>
    </row>
    <row r="103" spans="8:18" s="96" customFormat="1" ht="13.95" customHeight="1" x14ac:dyDescent="0.3">
      <c r="H103" s="278" t="s">
        <v>492</v>
      </c>
      <c r="I103" s="232">
        <v>42628</v>
      </c>
      <c r="J103" s="239" t="s">
        <v>493</v>
      </c>
      <c r="K103" s="239" t="s">
        <v>494</v>
      </c>
      <c r="L103" s="239" t="s">
        <v>61</v>
      </c>
      <c r="M103" s="254">
        <v>120</v>
      </c>
      <c r="N103" s="254"/>
      <c r="O103" s="250">
        <f>IF(ISBLANK(CkReg15_16[[#This Row],[Withdrawal]]),O102+CkReg15_16[[#This Row],[Deposit]],O102-CkReg15_16[[#This Row],[Withdrawal]])</f>
        <v>1281.4499999999812</v>
      </c>
      <c r="P103" s="251">
        <v>42641</v>
      </c>
      <c r="Q103" s="250">
        <f>IF(ISBLANK(CkReg15_16[[#This Row],[Withdrawal]]),Q102+CkReg15_16[[#This Row],[Deposit]],Q102-CkReg15_16[[#This Row],[Withdrawal]])</f>
        <v>6281.4500000000025</v>
      </c>
      <c r="R103" s="256"/>
    </row>
    <row r="104" spans="8:18" s="96" customFormat="1" ht="13.95" customHeight="1" x14ac:dyDescent="0.3">
      <c r="H104" s="278"/>
      <c r="I104" s="232">
        <v>42622</v>
      </c>
      <c r="J104" s="239"/>
      <c r="K104" s="239" t="s">
        <v>500</v>
      </c>
      <c r="L104" s="239" t="s">
        <v>61</v>
      </c>
      <c r="M104" s="254"/>
      <c r="N104" s="254">
        <v>2405</v>
      </c>
      <c r="O104" s="250">
        <f>IF(ISBLANK(CkReg15_16[[#This Row],[Withdrawal]]),O103+CkReg15_16[[#This Row],[Deposit]],O103-CkReg15_16[[#This Row],[Withdrawal]])</f>
        <v>3686.4499999999812</v>
      </c>
      <c r="P104" s="251">
        <v>42625</v>
      </c>
      <c r="Q104" s="250">
        <f>IF(ISBLANK(CkReg15_16[[#This Row],[Withdrawal]]),Q103+CkReg15_16[[#This Row],[Deposit]],Q103-CkReg15_16[[#This Row],[Withdrawal]])</f>
        <v>8686.4500000000025</v>
      </c>
      <c r="R104" s="256"/>
    </row>
    <row r="105" spans="8:18" s="96" customFormat="1" ht="13.95" customHeight="1" x14ac:dyDescent="0.3">
      <c r="H105" s="278"/>
      <c r="I105" s="232">
        <v>42622</v>
      </c>
      <c r="J105" s="239"/>
      <c r="K105" s="239" t="s">
        <v>501</v>
      </c>
      <c r="L105" s="239" t="s">
        <v>60</v>
      </c>
      <c r="M105" s="254"/>
      <c r="N105" s="254">
        <v>2001</v>
      </c>
      <c r="O105" s="250">
        <f>IF(ISBLANK(CkReg15_16[[#This Row],[Withdrawal]]),O104+CkReg15_16[[#This Row],[Deposit]],O104-CkReg15_16[[#This Row],[Withdrawal]])</f>
        <v>5687.4499999999807</v>
      </c>
      <c r="P105" s="251">
        <v>42625</v>
      </c>
      <c r="Q105" s="250">
        <f>IF(ISBLANK(CkReg15_16[[#This Row],[Withdrawal]]),Q104+CkReg15_16[[#This Row],[Deposit]],Q104-CkReg15_16[[#This Row],[Withdrawal]])</f>
        <v>10687.450000000003</v>
      </c>
      <c r="R105" s="256"/>
    </row>
    <row r="106" spans="8:18" s="96" customFormat="1" ht="13.95" customHeight="1" x14ac:dyDescent="0.3">
      <c r="H106" s="278"/>
      <c r="I106" s="232">
        <v>42621</v>
      </c>
      <c r="J106" s="239"/>
      <c r="K106" s="239" t="s">
        <v>502</v>
      </c>
      <c r="L106" s="239" t="s">
        <v>61</v>
      </c>
      <c r="M106" s="254"/>
      <c r="N106" s="254">
        <v>360</v>
      </c>
      <c r="O106" s="250">
        <f>IF(ISBLANK(CkReg15_16[[#This Row],[Withdrawal]]),O105+CkReg15_16[[#This Row],[Deposit]],O105-CkReg15_16[[#This Row],[Withdrawal]])</f>
        <v>6047.4499999999807</v>
      </c>
      <c r="P106" s="251">
        <v>42621</v>
      </c>
      <c r="Q106" s="250">
        <f>IF(ISBLANK(CkReg15_16[[#This Row],[Withdrawal]]),Q105+CkReg15_16[[#This Row],[Deposit]],Q105-CkReg15_16[[#This Row],[Withdrawal]])</f>
        <v>11047.450000000003</v>
      </c>
      <c r="R106" s="256"/>
    </row>
    <row r="107" spans="8:18" s="96" customFormat="1" ht="13.95" customHeight="1" x14ac:dyDescent="0.3">
      <c r="H107" s="278"/>
      <c r="I107" s="232">
        <v>42622</v>
      </c>
      <c r="J107" s="239"/>
      <c r="K107" s="239" t="s">
        <v>503</v>
      </c>
      <c r="L107" s="239" t="s">
        <v>61</v>
      </c>
      <c r="M107" s="254"/>
      <c r="N107" s="254">
        <v>1585</v>
      </c>
      <c r="O107" s="250">
        <f>IF(ISBLANK(CkReg15_16[[#This Row],[Withdrawal]]),O106+CkReg15_16[[#This Row],[Deposit]],O106-CkReg15_16[[#This Row],[Withdrawal]])</f>
        <v>7632.4499999999807</v>
      </c>
      <c r="P107" s="251">
        <v>42625</v>
      </c>
      <c r="Q107" s="250">
        <f>IF(ISBLANK(CkReg15_16[[#This Row],[Withdrawal]]),Q106+CkReg15_16[[#This Row],[Deposit]],Q106-CkReg15_16[[#This Row],[Withdrawal]])</f>
        <v>12632.450000000003</v>
      </c>
      <c r="R107" s="256"/>
    </row>
    <row r="108" spans="8:18" s="96" customFormat="1" ht="13.95" customHeight="1" x14ac:dyDescent="0.3">
      <c r="H108" s="278"/>
      <c r="I108" s="232">
        <v>42622</v>
      </c>
      <c r="J108" s="240"/>
      <c r="K108" s="240" t="s">
        <v>506</v>
      </c>
      <c r="L108" s="239" t="s">
        <v>60</v>
      </c>
      <c r="M108" s="254"/>
      <c r="N108" s="254">
        <v>444</v>
      </c>
      <c r="O108" s="250">
        <f>IF(ISBLANK(CkReg15_16[[#This Row],[Withdrawal]]),O107+CkReg15_16[[#This Row],[Deposit]],O107-CkReg15_16[[#This Row],[Withdrawal]])</f>
        <v>8076.4499999999807</v>
      </c>
      <c r="P108" s="251">
        <v>42625</v>
      </c>
      <c r="Q108" s="250">
        <f>IF(ISBLANK(CkReg15_16[[#This Row],[Withdrawal]]),Q107+CkReg15_16[[#This Row],[Deposit]],Q107-CkReg15_16[[#This Row],[Withdrawal]])</f>
        <v>13076.450000000003</v>
      </c>
      <c r="R108" s="256"/>
    </row>
    <row r="109" spans="8:18" s="96" customFormat="1" ht="13.95" customHeight="1" x14ac:dyDescent="0.3">
      <c r="H109" s="278"/>
      <c r="I109" s="232">
        <v>42622</v>
      </c>
      <c r="J109" s="239"/>
      <c r="K109" s="239" t="s">
        <v>504</v>
      </c>
      <c r="L109" s="239" t="s">
        <v>60</v>
      </c>
      <c r="M109" s="254"/>
      <c r="N109" s="254">
        <v>242</v>
      </c>
      <c r="O109" s="250">
        <f>IF(ISBLANK(CkReg15_16[[#This Row],[Withdrawal]]),O108+CkReg15_16[[#This Row],[Deposit]],O108-CkReg15_16[[#This Row],[Withdrawal]])</f>
        <v>8318.4499999999807</v>
      </c>
      <c r="P109" s="251">
        <v>42625</v>
      </c>
      <c r="Q109" s="250">
        <f>IF(ISBLANK(CkReg15_16[[#This Row],[Withdrawal]]),Q108+CkReg15_16[[#This Row],[Deposit]],Q108-CkReg15_16[[#This Row],[Withdrawal]])</f>
        <v>13318.450000000003</v>
      </c>
      <c r="R109" s="256"/>
    </row>
    <row r="110" spans="8:18" s="96" customFormat="1" ht="13.95" customHeight="1" x14ac:dyDescent="0.3">
      <c r="H110" s="278"/>
      <c r="I110" s="232">
        <v>42623</v>
      </c>
      <c r="J110" s="239"/>
      <c r="K110" s="239" t="s">
        <v>500</v>
      </c>
      <c r="L110" s="239" t="s">
        <v>61</v>
      </c>
      <c r="M110" s="254"/>
      <c r="N110" s="254">
        <v>395</v>
      </c>
      <c r="O110" s="250">
        <f>IF(ISBLANK(CkReg15_16[[#This Row],[Withdrawal]]),O109+CkReg15_16[[#This Row],[Deposit]],O109-CkReg15_16[[#This Row],[Withdrawal]])</f>
        <v>8713.4499999999807</v>
      </c>
      <c r="P110" s="251">
        <v>42625</v>
      </c>
      <c r="Q110" s="250">
        <f>IF(ISBLANK(CkReg15_16[[#This Row],[Withdrawal]]),Q109+CkReg15_16[[#This Row],[Deposit]],Q109-CkReg15_16[[#This Row],[Withdrawal]])</f>
        <v>13713.450000000003</v>
      </c>
      <c r="R110" s="256"/>
    </row>
    <row r="111" spans="8:18" s="96" customFormat="1" ht="13.95" customHeight="1" x14ac:dyDescent="0.3">
      <c r="H111" s="278"/>
      <c r="I111" s="232">
        <v>42623</v>
      </c>
      <c r="J111" s="239"/>
      <c r="K111" s="239" t="s">
        <v>486</v>
      </c>
      <c r="L111" s="239" t="s">
        <v>74</v>
      </c>
      <c r="M111" s="254"/>
      <c r="N111" s="254">
        <v>100</v>
      </c>
      <c r="O111" s="250">
        <f>IF(ISBLANK(CkReg15_16[[#This Row],[Withdrawal]]),O110+CkReg15_16[[#This Row],[Deposit]],O110-CkReg15_16[[#This Row],[Withdrawal]])</f>
        <v>8813.4499999999807</v>
      </c>
      <c r="P111" s="251">
        <v>42625</v>
      </c>
      <c r="Q111" s="250">
        <f>IF(ISBLANK(CkReg15_16[[#This Row],[Withdrawal]]),Q110+CkReg15_16[[#This Row],[Deposit]],Q110-CkReg15_16[[#This Row],[Withdrawal]])</f>
        <v>13813.450000000003</v>
      </c>
      <c r="R111" s="256"/>
    </row>
    <row r="112" spans="8:18" s="96" customFormat="1" ht="13.95" customHeight="1" x14ac:dyDescent="0.3">
      <c r="H112" s="278"/>
      <c r="I112" s="232">
        <v>42623</v>
      </c>
      <c r="J112" s="239"/>
      <c r="K112" s="239" t="s">
        <v>504</v>
      </c>
      <c r="L112" s="239" t="s">
        <v>60</v>
      </c>
      <c r="M112" s="254"/>
      <c r="N112" s="254">
        <v>545</v>
      </c>
      <c r="O112" s="250">
        <f>IF(ISBLANK(CkReg15_16[[#This Row],[Withdrawal]]),O111+CkReg15_16[[#This Row],[Deposit]],O111-CkReg15_16[[#This Row],[Withdrawal]])</f>
        <v>9358.4499999999807</v>
      </c>
      <c r="P112" s="251">
        <v>42625</v>
      </c>
      <c r="Q112" s="250">
        <f>IF(ISBLANK(CkReg15_16[[#This Row],[Withdrawal]]),Q111+CkReg15_16[[#This Row],[Deposit]],Q111-CkReg15_16[[#This Row],[Withdrawal]])</f>
        <v>14358.450000000003</v>
      </c>
      <c r="R112" s="256"/>
    </row>
    <row r="113" spans="8:20" s="96" customFormat="1" ht="13.95" customHeight="1" x14ac:dyDescent="0.3">
      <c r="H113" s="278"/>
      <c r="I113" s="232">
        <v>42623</v>
      </c>
      <c r="J113" s="240"/>
      <c r="K113" s="240" t="s">
        <v>505</v>
      </c>
      <c r="L113" s="239" t="s">
        <v>60</v>
      </c>
      <c r="M113" s="254"/>
      <c r="N113" s="254">
        <v>419</v>
      </c>
      <c r="O113" s="250">
        <f>IF(ISBLANK(CkReg15_16[[#This Row],[Withdrawal]]),O112+CkReg15_16[[#This Row],[Deposit]],O112-CkReg15_16[[#This Row],[Withdrawal]])</f>
        <v>9777.4499999999807</v>
      </c>
      <c r="P113" s="251">
        <v>42625</v>
      </c>
      <c r="Q113" s="250">
        <f>IF(ISBLANK(CkReg15_16[[#This Row],[Withdrawal]]),Q112+CkReg15_16[[#This Row],[Deposit]],Q112-CkReg15_16[[#This Row],[Withdrawal]])</f>
        <v>14777.450000000003</v>
      </c>
      <c r="R113" s="256"/>
    </row>
    <row r="114" spans="8:20" s="96" customFormat="1" ht="13.95" customHeight="1" x14ac:dyDescent="0.3">
      <c r="H114" s="278"/>
      <c r="I114" s="232">
        <v>42623</v>
      </c>
      <c r="J114" s="239"/>
      <c r="K114" s="239" t="s">
        <v>506</v>
      </c>
      <c r="L114" s="239" t="s">
        <v>60</v>
      </c>
      <c r="M114" s="254"/>
      <c r="N114" s="254">
        <v>647</v>
      </c>
      <c r="O114" s="250">
        <f>IF(ISBLANK(CkReg15_16[[#This Row],[Withdrawal]]),O113+CkReg15_16[[#This Row],[Deposit]],O113-CkReg15_16[[#This Row],[Withdrawal]])</f>
        <v>10424.449999999981</v>
      </c>
      <c r="P114" s="251">
        <v>42625</v>
      </c>
      <c r="Q114" s="250">
        <f>IF(ISBLANK(CkReg15_16[[#This Row],[Withdrawal]]),Q113+CkReg15_16[[#This Row],[Deposit]],Q113-CkReg15_16[[#This Row],[Withdrawal]])</f>
        <v>15424.450000000003</v>
      </c>
      <c r="R114" s="256"/>
    </row>
    <row r="115" spans="8:20" s="96" customFormat="1" ht="13.95" customHeight="1" x14ac:dyDescent="0.3">
      <c r="H115" s="278"/>
      <c r="I115" s="232">
        <v>42624</v>
      </c>
      <c r="J115" s="239"/>
      <c r="K115" s="239" t="s">
        <v>507</v>
      </c>
      <c r="L115" s="239" t="s">
        <v>60</v>
      </c>
      <c r="M115" s="254"/>
      <c r="N115" s="254">
        <v>25</v>
      </c>
      <c r="O115" s="250">
        <f>IF(ISBLANK(CkReg15_16[[#This Row],[Withdrawal]]),O114+CkReg15_16[[#This Row],[Deposit]],O114-CkReg15_16[[#This Row],[Withdrawal]])</f>
        <v>10449.449999999981</v>
      </c>
      <c r="P115" s="251">
        <v>42625</v>
      </c>
      <c r="Q115" s="250">
        <f>IF(ISBLANK(CkReg15_16[[#This Row],[Withdrawal]]),Q114+CkReg15_16[[#This Row],[Deposit]],Q114-CkReg15_16[[#This Row],[Withdrawal]])</f>
        <v>15449.450000000003</v>
      </c>
      <c r="R115" s="256"/>
    </row>
    <row r="116" spans="8:20" s="96" customFormat="1" ht="13.95" customHeight="1" x14ac:dyDescent="0.3">
      <c r="H116" s="278"/>
      <c r="I116" s="232">
        <v>42624</v>
      </c>
      <c r="J116" s="239"/>
      <c r="K116" s="239" t="s">
        <v>486</v>
      </c>
      <c r="L116" s="239" t="s">
        <v>74</v>
      </c>
      <c r="M116" s="254"/>
      <c r="N116" s="254">
        <v>100</v>
      </c>
      <c r="O116" s="250">
        <f>IF(ISBLANK(CkReg15_16[[#This Row],[Withdrawal]]),O115+CkReg15_16[[#This Row],[Deposit]],O115-CkReg15_16[[#This Row],[Withdrawal]])</f>
        <v>10549.449999999981</v>
      </c>
      <c r="P116" s="251">
        <v>42625</v>
      </c>
      <c r="Q116" s="250">
        <f>IF(ISBLANK(CkReg15_16[[#This Row],[Withdrawal]]),Q115+CkReg15_16[[#This Row],[Deposit]],Q115-CkReg15_16[[#This Row],[Withdrawal]])</f>
        <v>15549.450000000003</v>
      </c>
      <c r="R116" s="256"/>
    </row>
    <row r="117" spans="8:20" s="96" customFormat="1" ht="13.95" customHeight="1" x14ac:dyDescent="0.3">
      <c r="H117" s="278"/>
      <c r="I117" s="232">
        <v>42624</v>
      </c>
      <c r="J117" s="239"/>
      <c r="K117" s="239" t="s">
        <v>465</v>
      </c>
      <c r="L117" s="239" t="s">
        <v>60</v>
      </c>
      <c r="M117" s="254"/>
      <c r="N117" s="254">
        <v>108</v>
      </c>
      <c r="O117" s="250">
        <f>IF(ISBLANK(CkReg15_16[[#This Row],[Withdrawal]]),O116+CkReg15_16[[#This Row],[Deposit]],O116-CkReg15_16[[#This Row],[Withdrawal]])</f>
        <v>10657.449999999981</v>
      </c>
      <c r="P117" s="251">
        <v>42625</v>
      </c>
      <c r="Q117" s="250">
        <f>IF(ISBLANK(CkReg15_16[[#This Row],[Withdrawal]]),Q116+CkReg15_16[[#This Row],[Deposit]],Q116-CkReg15_16[[#This Row],[Withdrawal]])</f>
        <v>15657.450000000003</v>
      </c>
      <c r="R117" s="256"/>
    </row>
    <row r="118" spans="8:20" s="96" customFormat="1" ht="13.95" customHeight="1" x14ac:dyDescent="0.3">
      <c r="H118" s="278"/>
      <c r="I118" s="232">
        <v>42638</v>
      </c>
      <c r="J118" s="239"/>
      <c r="K118" s="239" t="s">
        <v>508</v>
      </c>
      <c r="L118" s="239" t="s">
        <v>61</v>
      </c>
      <c r="M118" s="254"/>
      <c r="N118" s="254">
        <v>120</v>
      </c>
      <c r="O118" s="250">
        <f>IF(ISBLANK(CkReg15_16[[#This Row],[Withdrawal]]),O117+CkReg15_16[[#This Row],[Deposit]],O117-CkReg15_16[[#This Row],[Withdrawal]])</f>
        <v>10777.449999999981</v>
      </c>
      <c r="P118" s="251">
        <v>42643</v>
      </c>
      <c r="Q118" s="250">
        <f>IF(ISBLANK(CkReg15_16[[#This Row],[Withdrawal]]),Q117+CkReg15_16[[#This Row],[Deposit]],Q117-CkReg15_16[[#This Row],[Withdrawal]])</f>
        <v>15777.450000000003</v>
      </c>
      <c r="R118" s="256"/>
    </row>
    <row r="119" spans="8:20" s="96" customFormat="1" ht="13.95" customHeight="1" x14ac:dyDescent="0.3">
      <c r="H119" s="277"/>
      <c r="I119" s="231">
        <v>42621</v>
      </c>
      <c r="J119" s="238"/>
      <c r="K119" s="239" t="s">
        <v>479</v>
      </c>
      <c r="L119" s="238" t="s">
        <v>33</v>
      </c>
      <c r="M119" s="249"/>
      <c r="N119" s="249">
        <v>62.75</v>
      </c>
      <c r="O119" s="250">
        <f>IF(ISBLANK(CkReg15_16[[#This Row],[Withdrawal]]),O118+CkReg15_16[[#This Row],[Deposit]],O118-CkReg15_16[[#This Row],[Withdrawal]])</f>
        <v>10840.199999999981</v>
      </c>
      <c r="P119" s="251">
        <v>42621</v>
      </c>
      <c r="Q119" s="250">
        <f>IF(ISBLANK(CkReg15_16[[#This Row],[Withdrawal]]),Q118+CkReg15_16[[#This Row],[Deposit]],Q118-CkReg15_16[[#This Row],[Withdrawal]])</f>
        <v>15840.200000000003</v>
      </c>
      <c r="R119" s="256"/>
    </row>
    <row r="120" spans="8:20" s="96" customFormat="1" ht="13.95" customHeight="1" x14ac:dyDescent="0.3">
      <c r="H120" s="281"/>
      <c r="I120" s="235">
        <v>42625</v>
      </c>
      <c r="J120" s="243" t="s">
        <v>460</v>
      </c>
      <c r="K120" s="241" t="s">
        <v>508</v>
      </c>
      <c r="L120" s="243" t="s">
        <v>61</v>
      </c>
      <c r="M120" s="267"/>
      <c r="N120" s="267">
        <v>4170</v>
      </c>
      <c r="O120" s="250">
        <f>IF(ISBLANK(CkReg15_16[[#This Row],[Withdrawal]]),O119+CkReg15_16[[#This Row],[Deposit]],O119-CkReg15_16[[#This Row],[Withdrawal]])</f>
        <v>15010.199999999981</v>
      </c>
      <c r="P120" s="251">
        <v>42625</v>
      </c>
      <c r="Q120" s="250">
        <f>IF(ISBLANK(CkReg15_16[[#This Row],[Withdrawal]]),Q119+CkReg15_16[[#This Row],[Deposit]],Q119-CkReg15_16[[#This Row],[Withdrawal]])</f>
        <v>20010.200000000004</v>
      </c>
      <c r="R120" s="260"/>
    </row>
    <row r="121" spans="8:20" s="96" customFormat="1" ht="13.95" customHeight="1" x14ac:dyDescent="0.3">
      <c r="H121" s="281"/>
      <c r="I121" s="235">
        <v>42625</v>
      </c>
      <c r="J121" s="243" t="s">
        <v>460</v>
      </c>
      <c r="K121" s="241" t="s">
        <v>509</v>
      </c>
      <c r="L121" s="243" t="s">
        <v>70</v>
      </c>
      <c r="M121" s="267">
        <v>89.3</v>
      </c>
      <c r="N121" s="267" t="s">
        <v>142</v>
      </c>
      <c r="O121" s="250">
        <f>IF(ISBLANK(CkReg15_16[[#This Row],[Withdrawal]]),O120+CkReg15_16[[#This Row],[Deposit]],O120-CkReg15_16[[#This Row],[Withdrawal]])</f>
        <v>14920.899999999981</v>
      </c>
      <c r="P121" s="251">
        <v>42625</v>
      </c>
      <c r="Q121" s="250">
        <f>IF(ISBLANK(CkReg15_16[[#This Row],[Withdrawal]]),Q120+CkReg15_16[[#This Row],[Deposit]],Q120-CkReg15_16[[#This Row],[Withdrawal]])</f>
        <v>19920.900000000005</v>
      </c>
      <c r="R121" s="260"/>
    </row>
    <row r="122" spans="8:20" s="96" customFormat="1" ht="13.95" customHeight="1" x14ac:dyDescent="0.3">
      <c r="H122" s="281"/>
      <c r="I122" s="235">
        <v>42625</v>
      </c>
      <c r="J122" s="243" t="s">
        <v>460</v>
      </c>
      <c r="K122" s="241" t="s">
        <v>510</v>
      </c>
      <c r="L122" s="243" t="s">
        <v>60</v>
      </c>
      <c r="M122" s="267"/>
      <c r="N122" s="267">
        <v>1920</v>
      </c>
      <c r="O122" s="250">
        <f>IF(ISBLANK(CkReg15_16[[#This Row],[Withdrawal]]),O121+CkReg15_16[[#This Row],[Deposit]],O121-CkReg15_16[[#This Row],[Withdrawal]])</f>
        <v>16840.89999999998</v>
      </c>
      <c r="P122" s="251">
        <v>42625</v>
      </c>
      <c r="Q122" s="250">
        <f>IF(ISBLANK(CkReg15_16[[#This Row],[Withdrawal]]),Q121+CkReg15_16[[#This Row],[Deposit]],Q121-CkReg15_16[[#This Row],[Withdrawal]])</f>
        <v>21840.900000000005</v>
      </c>
      <c r="R122" s="260"/>
    </row>
    <row r="123" spans="8:20" s="96" customFormat="1" ht="13.95" customHeight="1" x14ac:dyDescent="0.3">
      <c r="H123" s="281"/>
      <c r="I123" s="235">
        <v>42625</v>
      </c>
      <c r="J123" s="243" t="s">
        <v>460</v>
      </c>
      <c r="K123" s="241" t="s">
        <v>509</v>
      </c>
      <c r="L123" s="243" t="s">
        <v>67</v>
      </c>
      <c r="M123" s="267">
        <v>33.5</v>
      </c>
      <c r="N123" s="267"/>
      <c r="O123" s="250">
        <f>IF(ISBLANK(CkReg15_16[[#This Row],[Withdrawal]]),O122+CkReg15_16[[#This Row],[Deposit]],O122-CkReg15_16[[#This Row],[Withdrawal]])</f>
        <v>16807.39999999998</v>
      </c>
      <c r="P123" s="251">
        <v>42625</v>
      </c>
      <c r="Q123" s="250">
        <f>IF(ISBLANK(CkReg15_16[[#This Row],[Withdrawal]]),Q122+CkReg15_16[[#This Row],[Deposit]],Q122-CkReg15_16[[#This Row],[Withdrawal]])</f>
        <v>21807.400000000005</v>
      </c>
      <c r="R123" s="260"/>
    </row>
    <row r="124" spans="8:20" s="96" customFormat="1" ht="13.95" customHeight="1" x14ac:dyDescent="0.3">
      <c r="H124" s="282"/>
      <c r="I124" s="236">
        <v>42625</v>
      </c>
      <c r="J124" s="244" t="s">
        <v>460</v>
      </c>
      <c r="K124" s="268" t="s">
        <v>555</v>
      </c>
      <c r="L124" s="244" t="s">
        <v>61</v>
      </c>
      <c r="M124" s="269">
        <v>14.41</v>
      </c>
      <c r="N124" s="269"/>
      <c r="O124" s="250">
        <f>IF(ISBLANK(CkReg15_16[[#This Row],[Withdrawal]]),O123+CkReg15_16[[#This Row],[Deposit]],O123-CkReg15_16[[#This Row],[Withdrawal]])</f>
        <v>16792.98999999998</v>
      </c>
      <c r="P124" s="270">
        <v>42625</v>
      </c>
      <c r="Q124" s="250">
        <f>IF(ISBLANK(CkReg15_16[[#This Row],[Withdrawal]]),Q123+CkReg15_16[[#This Row],[Deposit]],Q123-CkReg15_16[[#This Row],[Withdrawal]])</f>
        <v>21792.990000000005</v>
      </c>
      <c r="R124" s="271"/>
    </row>
    <row r="125" spans="8:20" s="96" customFormat="1" ht="13.95" customHeight="1" x14ac:dyDescent="0.3">
      <c r="H125" s="282"/>
      <c r="I125" s="236">
        <v>42626</v>
      </c>
      <c r="J125" s="244" t="s">
        <v>460</v>
      </c>
      <c r="K125" s="268" t="s">
        <v>555</v>
      </c>
      <c r="L125" s="244" t="s">
        <v>61</v>
      </c>
      <c r="M125" s="269">
        <v>350.1</v>
      </c>
      <c r="N125" s="269"/>
      <c r="O125" s="250">
        <f>IF(ISBLANK(CkReg15_16[[#This Row],[Withdrawal]]),O124+CkReg15_16[[#This Row],[Deposit]],O124-CkReg15_16[[#This Row],[Withdrawal]])</f>
        <v>16442.889999999981</v>
      </c>
      <c r="P125" s="270">
        <v>42626</v>
      </c>
      <c r="Q125" s="250">
        <f>IF(ISBLANK(CkReg15_16[[#This Row],[Withdrawal]]),Q124+CkReg15_16[[#This Row],[Deposit]],Q124-CkReg15_16[[#This Row],[Withdrawal]])</f>
        <v>21442.890000000007</v>
      </c>
      <c r="R125" s="271"/>
    </row>
    <row r="126" spans="8:20" s="96" customFormat="1" ht="13.95" customHeight="1" x14ac:dyDescent="0.3">
      <c r="H126" s="282"/>
      <c r="I126" s="236">
        <v>42642</v>
      </c>
      <c r="J126" s="244" t="s">
        <v>460</v>
      </c>
      <c r="K126" s="268" t="s">
        <v>555</v>
      </c>
      <c r="L126" s="244" t="s">
        <v>61</v>
      </c>
      <c r="M126" s="269">
        <v>226.61</v>
      </c>
      <c r="N126" s="269"/>
      <c r="O126" s="250">
        <f>IF(ISBLANK(CkReg15_16[[#This Row],[Withdrawal]]),O125+CkReg15_16[[#This Row],[Deposit]],O125-CkReg15_16[[#This Row],[Withdrawal]])</f>
        <v>16216.279999999981</v>
      </c>
      <c r="P126" s="270">
        <v>42642</v>
      </c>
      <c r="Q126" s="250">
        <f>IF(ISBLANK(CkReg15_16[[#This Row],[Withdrawal]]),Q125+CkReg15_16[[#This Row],[Deposit]],Q125-CkReg15_16[[#This Row],[Withdrawal]])</f>
        <v>21216.280000000006</v>
      </c>
      <c r="R126" s="271"/>
    </row>
    <row r="127" spans="8:20" s="197" customFormat="1" ht="13.95" customHeight="1" x14ac:dyDescent="0.3">
      <c r="H127" s="277"/>
      <c r="I127" s="231">
        <v>42643</v>
      </c>
      <c r="J127" s="238" t="s">
        <v>554</v>
      </c>
      <c r="K127" s="239"/>
      <c r="L127" s="238" t="s">
        <v>91</v>
      </c>
      <c r="M127" s="249"/>
      <c r="N127" s="249">
        <v>0.66</v>
      </c>
      <c r="O127" s="250">
        <f>IF(ISBLANK(CkReg15_16[[#This Row],[Withdrawal]]),O126+CkReg15_16[[#This Row],[Deposit]],O126-CkReg15_16[[#This Row],[Withdrawal]])</f>
        <v>16216.939999999981</v>
      </c>
      <c r="P127" s="251">
        <v>42643</v>
      </c>
      <c r="Q127" s="250">
        <f>IF(ISBLANK(CkReg15_16[[#This Row],[Withdrawal]]),Q126+CkReg15_16[[#This Row],[Deposit]],Q126-CkReg15_16[[#This Row],[Withdrawal]])</f>
        <v>21216.940000000006</v>
      </c>
      <c r="R127" s="263"/>
    </row>
    <row r="128" spans="8:20" s="96" customFormat="1" ht="14.4" customHeight="1" x14ac:dyDescent="0.3">
      <c r="H128" s="277"/>
      <c r="I128" s="235"/>
      <c r="J128" s="238" t="s">
        <v>511</v>
      </c>
      <c r="K128" s="239" t="s">
        <v>508</v>
      </c>
      <c r="L128" s="238" t="s">
        <v>61</v>
      </c>
      <c r="M128" s="267"/>
      <c r="N128" s="272">
        <v>8800.93</v>
      </c>
      <c r="O128" s="250">
        <f>IF(ISBLANK(CkReg15_16[[#This Row],[Withdrawal]]),O127+CkReg15_16[[#This Row],[Deposit]],O127-CkReg15_16[[#This Row],[Withdrawal]])</f>
        <v>25017.869999999981</v>
      </c>
      <c r="P128" s="251">
        <v>42643</v>
      </c>
      <c r="Q128" s="250">
        <f>IF(ISBLANK(CkReg15_16[[#This Row],[Withdrawal]]),Q127+CkReg15_16[[#This Row],[Deposit]],Q127-CkReg15_16[[#This Row],[Withdrawal]])</f>
        <v>30017.870000000006</v>
      </c>
      <c r="R128" s="261">
        <v>42643</v>
      </c>
      <c r="T128" s="198"/>
    </row>
    <row r="129" spans="8:20" s="96" customFormat="1" ht="13.8" x14ac:dyDescent="0.3">
      <c r="H129" s="277" t="s">
        <v>514</v>
      </c>
      <c r="I129" s="235">
        <v>42642</v>
      </c>
      <c r="J129" s="238" t="s">
        <v>512</v>
      </c>
      <c r="K129" s="239" t="s">
        <v>513</v>
      </c>
      <c r="L129" s="243" t="s">
        <v>69</v>
      </c>
      <c r="M129" s="267">
        <f>186+5289</f>
        <v>5475</v>
      </c>
      <c r="N129" s="267"/>
      <c r="O129" s="250">
        <f>IF(ISBLANK(CkReg15_16[[#This Row],[Withdrawal]]),O128+CkReg15_16[[#This Row],[Deposit]],O128-CkReg15_16[[#This Row],[Withdrawal]])</f>
        <v>19542.869999999981</v>
      </c>
      <c r="P129" s="251">
        <v>42655</v>
      </c>
      <c r="Q129" s="250">
        <f>IF(ISBLANK(CkReg15_16[[#This Row],[Withdrawal]]),Q128+CkReg15_16[[#This Row],[Deposit]],Q128-CkReg15_16[[#This Row],[Withdrawal]])</f>
        <v>24542.870000000006</v>
      </c>
      <c r="R129" s="260"/>
      <c r="T129" s="198"/>
    </row>
    <row r="130" spans="8:20" s="96" customFormat="1" ht="13.8" x14ac:dyDescent="0.3">
      <c r="H130" s="277" t="s">
        <v>514</v>
      </c>
      <c r="I130" s="235">
        <v>42642</v>
      </c>
      <c r="J130" s="238" t="s">
        <v>512</v>
      </c>
      <c r="K130" s="239" t="s">
        <v>515</v>
      </c>
      <c r="L130" s="243" t="s">
        <v>69</v>
      </c>
      <c r="M130" s="267"/>
      <c r="N130" s="267">
        <v>600</v>
      </c>
      <c r="O130" s="250">
        <f>IF(ISBLANK(CkReg15_16[[#This Row],[Withdrawal]]),O129+CkReg15_16[[#This Row],[Deposit]],O129-CkReg15_16[[#This Row],[Withdrawal]])</f>
        <v>20142.869999999981</v>
      </c>
      <c r="P130" s="251">
        <v>42655</v>
      </c>
      <c r="Q130" s="250">
        <f>IF(ISBLANK(CkReg15_16[[#This Row],[Withdrawal]]),Q129+CkReg15_16[[#This Row],[Deposit]],Q129-CkReg15_16[[#This Row],[Withdrawal]])</f>
        <v>25142.870000000006</v>
      </c>
      <c r="R130" s="260"/>
      <c r="T130" s="198"/>
    </row>
    <row r="131" spans="8:20" s="96" customFormat="1" ht="13.8" x14ac:dyDescent="0.3">
      <c r="H131" s="281" t="s">
        <v>514</v>
      </c>
      <c r="I131" s="235">
        <v>42642</v>
      </c>
      <c r="J131" s="243" t="s">
        <v>512</v>
      </c>
      <c r="K131" s="239" t="s">
        <v>516</v>
      </c>
      <c r="L131" s="243" t="s">
        <v>66</v>
      </c>
      <c r="M131" s="267">
        <v>7492</v>
      </c>
      <c r="N131" s="267"/>
      <c r="O131" s="250">
        <f>IF(ISBLANK(CkReg15_16[[#This Row],[Withdrawal]]),O130+CkReg15_16[[#This Row],[Deposit]],O130-CkReg15_16[[#This Row],[Withdrawal]])</f>
        <v>12650.869999999981</v>
      </c>
      <c r="P131" s="251">
        <v>42655</v>
      </c>
      <c r="Q131" s="250">
        <f>IF(ISBLANK(CkReg15_16[[#This Row],[Withdrawal]]),Q130+CkReg15_16[[#This Row],[Deposit]],Q130-CkReg15_16[[#This Row],[Withdrawal]])</f>
        <v>17650.870000000006</v>
      </c>
      <c r="R131" s="260"/>
      <c r="T131" s="198"/>
    </row>
    <row r="132" spans="8:20" s="96" customFormat="1" ht="13.8" x14ac:dyDescent="0.3">
      <c r="H132" s="281" t="s">
        <v>514</v>
      </c>
      <c r="I132" s="235">
        <v>42642</v>
      </c>
      <c r="J132" s="243" t="s">
        <v>512</v>
      </c>
      <c r="K132" s="239" t="s">
        <v>515</v>
      </c>
      <c r="L132" s="243" t="s">
        <v>66</v>
      </c>
      <c r="M132" s="267"/>
      <c r="N132" s="267">
        <v>1873</v>
      </c>
      <c r="O132" s="250">
        <f>IF(ISBLANK(CkReg15_16[[#This Row],[Withdrawal]]),O131+CkReg15_16[[#This Row],[Deposit]],O131-CkReg15_16[[#This Row],[Withdrawal]])</f>
        <v>14523.869999999981</v>
      </c>
      <c r="P132" s="251">
        <v>42655</v>
      </c>
      <c r="Q132" s="250">
        <f>IF(ISBLANK(CkReg15_16[[#This Row],[Withdrawal]]),Q131+CkReg15_16[[#This Row],[Deposit]],Q131-CkReg15_16[[#This Row],[Withdrawal]])</f>
        <v>19523.870000000006</v>
      </c>
      <c r="R132" s="260"/>
      <c r="T132" s="198"/>
    </row>
    <row r="133" spans="8:20" s="96" customFormat="1" ht="13.8" x14ac:dyDescent="0.3">
      <c r="H133" s="282" t="s">
        <v>514</v>
      </c>
      <c r="I133" s="236">
        <v>42642</v>
      </c>
      <c r="J133" s="244" t="s">
        <v>512</v>
      </c>
      <c r="K133" s="268" t="s">
        <v>556</v>
      </c>
      <c r="L133" s="244" t="s">
        <v>69</v>
      </c>
      <c r="M133" s="269"/>
      <c r="N133" s="269">
        <v>500</v>
      </c>
      <c r="O133" s="250">
        <f>IF(ISBLANK(CkReg15_16[[#This Row],[Withdrawal]]),O132+CkReg15_16[[#This Row],[Deposit]],O132-CkReg15_16[[#This Row],[Withdrawal]])</f>
        <v>15023.869999999981</v>
      </c>
      <c r="P133" s="251">
        <v>42655</v>
      </c>
      <c r="Q133" s="250">
        <f>IF(ISBLANK(CkReg15_16[[#This Row],[Withdrawal]]),Q132+CkReg15_16[[#This Row],[Deposit]],Q132-CkReg15_16[[#This Row],[Withdrawal]])</f>
        <v>20023.870000000006</v>
      </c>
      <c r="R133" s="271"/>
      <c r="T133" s="198"/>
    </row>
    <row r="134" spans="8:20" s="96" customFormat="1" ht="13.8" x14ac:dyDescent="0.3">
      <c r="H134" s="277" t="s">
        <v>522</v>
      </c>
      <c r="I134" s="235">
        <v>42644</v>
      </c>
      <c r="J134" s="238" t="s">
        <v>431</v>
      </c>
      <c r="K134" s="239" t="s">
        <v>431</v>
      </c>
      <c r="L134" s="243" t="s">
        <v>68</v>
      </c>
      <c r="M134" s="267">
        <v>192</v>
      </c>
      <c r="N134" s="267"/>
      <c r="O134" s="250">
        <f>IF(ISBLANK(CkReg15_16[[#This Row],[Withdrawal]]),O133+CkReg15_16[[#This Row],[Deposit]],O133-CkReg15_16[[#This Row],[Withdrawal]])</f>
        <v>14831.869999999981</v>
      </c>
      <c r="P134" s="251">
        <v>42646</v>
      </c>
      <c r="Q134" s="250">
        <f>IF(ISBLANK(CkReg15_16[[#This Row],[Withdrawal]]),Q133+CkReg15_16[[#This Row],[Deposit]],Q133-CkReg15_16[[#This Row],[Withdrawal]])</f>
        <v>19831.870000000006</v>
      </c>
      <c r="R134" s="260"/>
      <c r="T134" s="99"/>
    </row>
    <row r="135" spans="8:20" s="96" customFormat="1" ht="13.8" x14ac:dyDescent="0.3">
      <c r="H135" s="277" t="s">
        <v>606</v>
      </c>
      <c r="I135" s="231">
        <v>42644</v>
      </c>
      <c r="J135" s="238" t="s">
        <v>392</v>
      </c>
      <c r="K135" s="239"/>
      <c r="L135" s="238" t="s">
        <v>32</v>
      </c>
      <c r="M135" s="249"/>
      <c r="N135" s="249">
        <v>25</v>
      </c>
      <c r="O135" s="250">
        <f>IF(ISBLANK(CkReg15_16[[#This Row],[Withdrawal]]),O134+CkReg15_16[[#This Row],[Deposit]],O134-CkReg15_16[[#This Row],[Withdrawal]])</f>
        <v>14856.869999999981</v>
      </c>
      <c r="P135" s="251">
        <v>42649</v>
      </c>
      <c r="Q135" s="250">
        <f>IF(ISBLANK(CkReg15_16[[#This Row],[Withdrawal]]),Q134+CkReg15_16[[#This Row],[Deposit]],Q134-CkReg15_16[[#This Row],[Withdrawal]])</f>
        <v>19856.870000000006</v>
      </c>
      <c r="R135" s="263"/>
      <c r="T135" s="198"/>
    </row>
    <row r="136" spans="8:20" s="96" customFormat="1" ht="13.8" x14ac:dyDescent="0.3">
      <c r="H136" s="277" t="s">
        <v>607</v>
      </c>
      <c r="I136" s="231">
        <v>42644</v>
      </c>
      <c r="J136" s="238" t="s">
        <v>534</v>
      </c>
      <c r="K136" s="239"/>
      <c r="L136" s="238" t="s">
        <v>32</v>
      </c>
      <c r="M136" s="249"/>
      <c r="N136" s="249">
        <v>100</v>
      </c>
      <c r="O136" s="250">
        <f>IF(ISBLANK(CkReg15_16[[#This Row],[Withdrawal]]),O135+CkReg15_16[[#This Row],[Deposit]],O135-CkReg15_16[[#This Row],[Withdrawal]])</f>
        <v>14956.869999999981</v>
      </c>
      <c r="P136" s="251">
        <v>42649</v>
      </c>
      <c r="Q136" s="250">
        <f>IF(ISBLANK(CkReg15_16[[#This Row],[Withdrawal]]),Q135+CkReg15_16[[#This Row],[Deposit]],Q135-CkReg15_16[[#This Row],[Withdrawal]])</f>
        <v>19956.870000000006</v>
      </c>
      <c r="R136" s="263"/>
      <c r="T136" s="198"/>
    </row>
    <row r="137" spans="8:20" s="96" customFormat="1" ht="13.8" x14ac:dyDescent="0.3">
      <c r="H137" s="277" t="s">
        <v>608</v>
      </c>
      <c r="I137" s="231">
        <v>42644</v>
      </c>
      <c r="J137" s="238" t="s">
        <v>393</v>
      </c>
      <c r="K137" s="239"/>
      <c r="L137" s="238" t="s">
        <v>32</v>
      </c>
      <c r="M137" s="249"/>
      <c r="N137" s="249">
        <v>35</v>
      </c>
      <c r="O137" s="250">
        <f>IF(ISBLANK(CkReg15_16[[#This Row],[Withdrawal]]),O136+CkReg15_16[[#This Row],[Deposit]],O136-CkReg15_16[[#This Row],[Withdrawal]])</f>
        <v>14991.869999999981</v>
      </c>
      <c r="P137" s="251">
        <v>42649</v>
      </c>
      <c r="Q137" s="250">
        <f>IF(ISBLANK(CkReg15_16[[#This Row],[Withdrawal]]),Q136+CkReg15_16[[#This Row],[Deposit]],Q136-CkReg15_16[[#This Row],[Withdrawal]])</f>
        <v>19991.870000000006</v>
      </c>
      <c r="R137" s="263"/>
      <c r="T137" s="198"/>
    </row>
    <row r="138" spans="8:20" s="96" customFormat="1" ht="13.8" x14ac:dyDescent="0.3">
      <c r="H138" s="277" t="s">
        <v>609</v>
      </c>
      <c r="I138" s="231">
        <v>42644</v>
      </c>
      <c r="J138" s="238" t="s">
        <v>394</v>
      </c>
      <c r="K138" s="239"/>
      <c r="L138" s="238" t="s">
        <v>32</v>
      </c>
      <c r="M138" s="249"/>
      <c r="N138" s="249">
        <v>20</v>
      </c>
      <c r="O138" s="250">
        <f>IF(ISBLANK(CkReg15_16[[#This Row],[Withdrawal]]),O137+CkReg15_16[[#This Row],[Deposit]],O137-CkReg15_16[[#This Row],[Withdrawal]])</f>
        <v>15011.869999999981</v>
      </c>
      <c r="P138" s="251">
        <v>42649</v>
      </c>
      <c r="Q138" s="250">
        <f>IF(ISBLANK(CkReg15_16[[#This Row],[Withdrawal]]),Q137+CkReg15_16[[#This Row],[Deposit]],Q137-CkReg15_16[[#This Row],[Withdrawal]])</f>
        <v>20011.870000000006</v>
      </c>
      <c r="R138" s="263"/>
      <c r="T138" s="198"/>
    </row>
    <row r="139" spans="8:20" s="96" customFormat="1" ht="13.8" x14ac:dyDescent="0.3">
      <c r="H139" s="277" t="s">
        <v>610</v>
      </c>
      <c r="I139" s="231">
        <v>42644</v>
      </c>
      <c r="J139" s="238" t="s">
        <v>395</v>
      </c>
      <c r="K139" s="239"/>
      <c r="L139" s="238" t="s">
        <v>32</v>
      </c>
      <c r="M139" s="249"/>
      <c r="N139" s="249">
        <v>25</v>
      </c>
      <c r="O139" s="250">
        <f>IF(ISBLANK(CkReg15_16[[#This Row],[Withdrawal]]),O138+CkReg15_16[[#This Row],[Deposit]],O138-CkReg15_16[[#This Row],[Withdrawal]])</f>
        <v>15036.869999999981</v>
      </c>
      <c r="P139" s="251">
        <v>42649</v>
      </c>
      <c r="Q139" s="250">
        <f>IF(ISBLANK(CkReg15_16[[#This Row],[Withdrawal]]),Q138+CkReg15_16[[#This Row],[Deposit]],Q138-CkReg15_16[[#This Row],[Withdrawal]])</f>
        <v>20036.870000000006</v>
      </c>
      <c r="R139" s="263"/>
      <c r="T139" s="198"/>
    </row>
    <row r="140" spans="8:20" s="96" customFormat="1" ht="13.8" x14ac:dyDescent="0.3">
      <c r="H140" s="277" t="s">
        <v>611</v>
      </c>
      <c r="I140" s="231">
        <v>42644</v>
      </c>
      <c r="J140" s="238" t="s">
        <v>396</v>
      </c>
      <c r="K140" s="239"/>
      <c r="L140" s="238" t="s">
        <v>32</v>
      </c>
      <c r="M140" s="249"/>
      <c r="N140" s="249">
        <v>55</v>
      </c>
      <c r="O140" s="250">
        <f>IF(ISBLANK(CkReg15_16[[#This Row],[Withdrawal]]),O139+CkReg15_16[[#This Row],[Deposit]],O139-CkReg15_16[[#This Row],[Withdrawal]])</f>
        <v>15091.869999999981</v>
      </c>
      <c r="P140" s="251">
        <v>42649</v>
      </c>
      <c r="Q140" s="250">
        <f>IF(ISBLANK(CkReg15_16[[#This Row],[Withdrawal]]),Q139+CkReg15_16[[#This Row],[Deposit]],Q139-CkReg15_16[[#This Row],[Withdrawal]])</f>
        <v>20091.870000000006</v>
      </c>
      <c r="R140" s="263"/>
      <c r="T140" s="198"/>
    </row>
    <row r="141" spans="8:20" s="96" customFormat="1" ht="13.8" x14ac:dyDescent="0.3">
      <c r="H141" s="277" t="s">
        <v>612</v>
      </c>
      <c r="I141" s="231">
        <v>42644</v>
      </c>
      <c r="J141" s="238" t="s">
        <v>397</v>
      </c>
      <c r="K141" s="239"/>
      <c r="L141" s="238" t="s">
        <v>32</v>
      </c>
      <c r="M141" s="249"/>
      <c r="N141" s="249">
        <v>50</v>
      </c>
      <c r="O141" s="250">
        <f>IF(ISBLANK(CkReg15_16[[#This Row],[Withdrawal]]),O140+CkReg15_16[[#This Row],[Deposit]],O140-CkReg15_16[[#This Row],[Withdrawal]])</f>
        <v>15141.869999999981</v>
      </c>
      <c r="P141" s="251">
        <v>42649</v>
      </c>
      <c r="Q141" s="250">
        <f>IF(ISBLANK(CkReg15_16[[#This Row],[Withdrawal]]),Q140+CkReg15_16[[#This Row],[Deposit]],Q140-CkReg15_16[[#This Row],[Withdrawal]])</f>
        <v>20141.870000000006</v>
      </c>
      <c r="R141" s="263"/>
      <c r="T141" s="198"/>
    </row>
    <row r="142" spans="8:20" s="96" customFormat="1" ht="13.8" x14ac:dyDescent="0.3">
      <c r="H142" s="277" t="s">
        <v>613</v>
      </c>
      <c r="I142" s="231">
        <v>42644</v>
      </c>
      <c r="J142" s="238" t="s">
        <v>303</v>
      </c>
      <c r="K142" s="239"/>
      <c r="L142" s="238" t="s">
        <v>32</v>
      </c>
      <c r="M142" s="249"/>
      <c r="N142" s="249">
        <v>40</v>
      </c>
      <c r="O142" s="250">
        <f>IF(ISBLANK(CkReg15_16[[#This Row],[Withdrawal]]),O141+CkReg15_16[[#This Row],[Deposit]],O141-CkReg15_16[[#This Row],[Withdrawal]])</f>
        <v>15181.869999999981</v>
      </c>
      <c r="P142" s="251">
        <v>42649</v>
      </c>
      <c r="Q142" s="250">
        <f>IF(ISBLANK(CkReg15_16[[#This Row],[Withdrawal]]),Q141+CkReg15_16[[#This Row],[Deposit]],Q141-CkReg15_16[[#This Row],[Withdrawal]])</f>
        <v>20181.870000000006</v>
      </c>
      <c r="R142" s="263"/>
      <c r="T142" s="198"/>
    </row>
    <row r="143" spans="8:20" s="96" customFormat="1" ht="13.8" x14ac:dyDescent="0.3">
      <c r="H143" s="277" t="s">
        <v>614</v>
      </c>
      <c r="I143" s="231">
        <v>42644</v>
      </c>
      <c r="J143" s="238" t="s">
        <v>423</v>
      </c>
      <c r="K143" s="239"/>
      <c r="L143" s="238" t="s">
        <v>32</v>
      </c>
      <c r="M143" s="249"/>
      <c r="N143" s="249">
        <v>10</v>
      </c>
      <c r="O143" s="250">
        <f>IF(ISBLANK(CkReg15_16[[#This Row],[Withdrawal]]),O142+CkReg15_16[[#This Row],[Deposit]],O142-CkReg15_16[[#This Row],[Withdrawal]])</f>
        <v>15191.869999999981</v>
      </c>
      <c r="P143" s="251">
        <v>42649</v>
      </c>
      <c r="Q143" s="250">
        <f>IF(ISBLANK(CkReg15_16[[#This Row],[Withdrawal]]),Q142+CkReg15_16[[#This Row],[Deposit]],Q142-CkReg15_16[[#This Row],[Withdrawal]])</f>
        <v>20191.870000000006</v>
      </c>
      <c r="R143" s="263"/>
      <c r="T143" s="198"/>
    </row>
    <row r="144" spans="8:20" s="96" customFormat="1" ht="13.8" x14ac:dyDescent="0.3">
      <c r="H144" s="277" t="s">
        <v>615</v>
      </c>
      <c r="I144" s="231">
        <v>42644</v>
      </c>
      <c r="J144" s="238" t="s">
        <v>451</v>
      </c>
      <c r="K144" s="239" t="s">
        <v>531</v>
      </c>
      <c r="L144" s="238" t="s">
        <v>63</v>
      </c>
      <c r="M144" s="249"/>
      <c r="N144" s="249">
        <v>21.2</v>
      </c>
      <c r="O144" s="250">
        <f>IF(ISBLANK(CkReg15_16[[#This Row],[Withdrawal]]),O143+CkReg15_16[[#This Row],[Deposit]],O143-CkReg15_16[[#This Row],[Withdrawal]])</f>
        <v>15213.069999999982</v>
      </c>
      <c r="P144" s="251">
        <v>42649</v>
      </c>
      <c r="Q144" s="250">
        <f>IF(ISBLANK(CkReg15_16[[#This Row],[Withdrawal]]),Q143+CkReg15_16[[#This Row],[Deposit]],Q143-CkReg15_16[[#This Row],[Withdrawal]])</f>
        <v>20213.070000000007</v>
      </c>
      <c r="R144" s="263"/>
      <c r="T144" s="198"/>
    </row>
    <row r="145" spans="8:20" s="96" customFormat="1" ht="13.8" x14ac:dyDescent="0.3">
      <c r="H145" s="277" t="s">
        <v>616</v>
      </c>
      <c r="I145" s="231">
        <v>42644</v>
      </c>
      <c r="J145" s="238" t="s">
        <v>131</v>
      </c>
      <c r="K145" s="239" t="s">
        <v>529</v>
      </c>
      <c r="L145" s="238" t="s">
        <v>64</v>
      </c>
      <c r="M145" s="249"/>
      <c r="N145" s="249">
        <v>0.8</v>
      </c>
      <c r="O145" s="250">
        <f>IF(ISBLANK(CkReg15_16[[#This Row],[Withdrawal]]),O144+CkReg15_16[[#This Row],[Deposit]],O144-CkReg15_16[[#This Row],[Withdrawal]])</f>
        <v>15213.869999999981</v>
      </c>
      <c r="P145" s="251">
        <v>42649</v>
      </c>
      <c r="Q145" s="250">
        <f>IF(ISBLANK(CkReg15_16[[#This Row],[Withdrawal]]),Q144+CkReg15_16[[#This Row],[Deposit]],Q144-CkReg15_16[[#This Row],[Withdrawal]])</f>
        <v>20213.870000000006</v>
      </c>
      <c r="R145" s="263"/>
      <c r="T145" s="198"/>
    </row>
    <row r="146" spans="8:20" s="96" customFormat="1" ht="13.8" x14ac:dyDescent="0.3">
      <c r="H146" s="277" t="s">
        <v>617</v>
      </c>
      <c r="I146" s="231">
        <v>42644</v>
      </c>
      <c r="J146" s="238" t="s">
        <v>363</v>
      </c>
      <c r="K146" s="239" t="s">
        <v>528</v>
      </c>
      <c r="L146" s="238" t="s">
        <v>66</v>
      </c>
      <c r="M146" s="249"/>
      <c r="N146" s="249">
        <v>1.05</v>
      </c>
      <c r="O146" s="250">
        <f>IF(ISBLANK(CkReg15_16[[#This Row],[Withdrawal]]),O145+CkReg15_16[[#This Row],[Deposit]],O145-CkReg15_16[[#This Row],[Withdrawal]])</f>
        <v>15214.91999999998</v>
      </c>
      <c r="P146" s="251">
        <v>42649</v>
      </c>
      <c r="Q146" s="250">
        <f>IF(ISBLANK(CkReg15_16[[#This Row],[Withdrawal]]),Q145+CkReg15_16[[#This Row],[Deposit]],Q145-CkReg15_16[[#This Row],[Withdrawal]])</f>
        <v>20214.920000000006</v>
      </c>
      <c r="R146" s="263"/>
      <c r="T146" s="198"/>
    </row>
    <row r="147" spans="8:20" s="96" customFormat="1" ht="13.8" x14ac:dyDescent="0.3">
      <c r="H147" s="277" t="s">
        <v>618</v>
      </c>
      <c r="I147" s="231">
        <v>42644</v>
      </c>
      <c r="J147" s="238" t="s">
        <v>451</v>
      </c>
      <c r="K147" s="239" t="s">
        <v>530</v>
      </c>
      <c r="L147" s="238" t="s">
        <v>65</v>
      </c>
      <c r="M147" s="249"/>
      <c r="N147" s="249">
        <v>12.07</v>
      </c>
      <c r="O147" s="250">
        <f>IF(ISBLANK(CkReg15_16[[#This Row],[Withdrawal]]),O146+CkReg15_16[[#This Row],[Deposit]],O146-CkReg15_16[[#This Row],[Withdrawal]])</f>
        <v>15226.98999999998</v>
      </c>
      <c r="P147" s="251">
        <v>42649</v>
      </c>
      <c r="Q147" s="250">
        <f>IF(ISBLANK(CkReg15_16[[#This Row],[Withdrawal]]),Q146+CkReg15_16[[#This Row],[Deposit]],Q146-CkReg15_16[[#This Row],[Withdrawal]])</f>
        <v>20226.990000000005</v>
      </c>
      <c r="R147" s="263"/>
      <c r="T147" s="198"/>
    </row>
    <row r="148" spans="8:20" s="96" customFormat="1" ht="13.8" x14ac:dyDescent="0.3">
      <c r="H148" s="277" t="s">
        <v>619</v>
      </c>
      <c r="I148" s="231">
        <v>42644</v>
      </c>
      <c r="J148" s="238" t="s">
        <v>136</v>
      </c>
      <c r="K148" s="239" t="s">
        <v>465</v>
      </c>
      <c r="L148" s="238" t="s">
        <v>67</v>
      </c>
      <c r="M148" s="249">
        <v>99.35</v>
      </c>
      <c r="N148" s="249"/>
      <c r="O148" s="250">
        <f>IF(ISBLANK(CkReg15_16[[#This Row],[Withdrawal]]),O147+CkReg15_16[[#This Row],[Deposit]],O147-CkReg15_16[[#This Row],[Withdrawal]])</f>
        <v>15127.639999999979</v>
      </c>
      <c r="P148" s="251">
        <v>42649</v>
      </c>
      <c r="Q148" s="250">
        <f>IF(ISBLANK(CkReg15_16[[#This Row],[Withdrawal]]),Q147+CkReg15_16[[#This Row],[Deposit]],Q147-CkReg15_16[[#This Row],[Withdrawal]])</f>
        <v>20127.640000000007</v>
      </c>
      <c r="R148" s="263"/>
      <c r="T148" s="198"/>
    </row>
    <row r="149" spans="8:20" s="96" customFormat="1" ht="13.8" x14ac:dyDescent="0.3">
      <c r="H149" s="277" t="s">
        <v>619</v>
      </c>
      <c r="I149" s="231">
        <v>42644</v>
      </c>
      <c r="J149" s="238" t="s">
        <v>136</v>
      </c>
      <c r="K149" s="239" t="s">
        <v>527</v>
      </c>
      <c r="L149" s="238" t="s">
        <v>67</v>
      </c>
      <c r="M149" s="249">
        <v>11.06</v>
      </c>
      <c r="N149" s="249"/>
      <c r="O149" s="250">
        <f>IF(ISBLANK(CkReg15_16[[#This Row],[Withdrawal]]),O148+CkReg15_16[[#This Row],[Deposit]],O148-CkReg15_16[[#This Row],[Withdrawal]])</f>
        <v>15116.57999999998</v>
      </c>
      <c r="P149" s="251">
        <v>42649</v>
      </c>
      <c r="Q149" s="250">
        <f>IF(ISBLANK(CkReg15_16[[#This Row],[Withdrawal]]),Q148+CkReg15_16[[#This Row],[Deposit]],Q148-CkReg15_16[[#This Row],[Withdrawal]])</f>
        <v>20116.580000000005</v>
      </c>
      <c r="R149" s="263"/>
      <c r="T149" s="198"/>
    </row>
    <row r="150" spans="8:20" s="96" customFormat="1" ht="13.8" x14ac:dyDescent="0.3">
      <c r="H150" s="277" t="s">
        <v>619</v>
      </c>
      <c r="I150" s="231">
        <v>42644</v>
      </c>
      <c r="J150" s="238" t="s">
        <v>136</v>
      </c>
      <c r="K150" s="239" t="s">
        <v>465</v>
      </c>
      <c r="L150" s="238" t="s">
        <v>67</v>
      </c>
      <c r="M150" s="249"/>
      <c r="N150" s="249">
        <v>200</v>
      </c>
      <c r="O150" s="250">
        <f>IF(ISBLANK(CkReg15_16[[#This Row],[Withdrawal]]),O149+CkReg15_16[[#This Row],[Deposit]],O149-CkReg15_16[[#This Row],[Withdrawal]])</f>
        <v>15316.57999999998</v>
      </c>
      <c r="P150" s="251">
        <v>42649</v>
      </c>
      <c r="Q150" s="250">
        <f>IF(ISBLANK(CkReg15_16[[#This Row],[Withdrawal]]),Q149+CkReg15_16[[#This Row],[Deposit]],Q149-CkReg15_16[[#This Row],[Withdrawal]])</f>
        <v>20316.580000000005</v>
      </c>
      <c r="R150" s="263"/>
      <c r="T150" s="198"/>
    </row>
    <row r="151" spans="8:20" s="96" customFormat="1" ht="13.8" x14ac:dyDescent="0.3">
      <c r="H151" s="277" t="s">
        <v>620</v>
      </c>
      <c r="I151" s="231">
        <v>42644</v>
      </c>
      <c r="J151" s="238" t="s">
        <v>172</v>
      </c>
      <c r="K151" s="239" t="s">
        <v>479</v>
      </c>
      <c r="L151" s="238" t="s">
        <v>34</v>
      </c>
      <c r="M151" s="249">
        <v>48.83</v>
      </c>
      <c r="N151" s="249"/>
      <c r="O151" s="250">
        <f>IF(ISBLANK(CkReg15_16[[#This Row],[Withdrawal]]),O150+CkReg15_16[[#This Row],[Deposit]],O150-CkReg15_16[[#This Row],[Withdrawal]])</f>
        <v>15267.74999999998</v>
      </c>
      <c r="P151" s="251">
        <v>42649</v>
      </c>
      <c r="Q151" s="250">
        <f>IF(ISBLANK(CkReg15_16[[#This Row],[Withdrawal]]),Q150+CkReg15_16[[#This Row],[Deposit]],Q150-CkReg15_16[[#This Row],[Withdrawal]])</f>
        <v>20267.750000000004</v>
      </c>
      <c r="R151" s="263"/>
      <c r="T151" s="198"/>
    </row>
    <row r="152" spans="8:20" s="96" customFormat="1" ht="13.8" x14ac:dyDescent="0.3">
      <c r="H152" s="277" t="s">
        <v>620</v>
      </c>
      <c r="I152" s="231">
        <v>42644</v>
      </c>
      <c r="J152" s="238" t="s">
        <v>172</v>
      </c>
      <c r="K152" s="239" t="s">
        <v>479</v>
      </c>
      <c r="L152" s="238" t="s">
        <v>33</v>
      </c>
      <c r="M152" s="249"/>
      <c r="N152" s="249">
        <v>75</v>
      </c>
      <c r="O152" s="250">
        <f>IF(ISBLANK(CkReg15_16[[#This Row],[Withdrawal]]),O151+CkReg15_16[[#This Row],[Deposit]],O151-CkReg15_16[[#This Row],[Withdrawal]])</f>
        <v>15342.74999999998</v>
      </c>
      <c r="P152" s="251">
        <v>42649</v>
      </c>
      <c r="Q152" s="250">
        <f>IF(ISBLANK(CkReg15_16[[#This Row],[Withdrawal]]),Q151+CkReg15_16[[#This Row],[Deposit]],Q151-CkReg15_16[[#This Row],[Withdrawal]])</f>
        <v>20342.750000000004</v>
      </c>
      <c r="R152" s="263"/>
      <c r="T152" s="198"/>
    </row>
    <row r="153" spans="8:20" s="96" customFormat="1" ht="13.8" x14ac:dyDescent="0.3">
      <c r="H153" s="277" t="s">
        <v>620</v>
      </c>
      <c r="I153" s="231">
        <v>42644</v>
      </c>
      <c r="J153" s="238" t="s">
        <v>172</v>
      </c>
      <c r="K153" s="239" t="s">
        <v>482</v>
      </c>
      <c r="L153" s="238" t="s">
        <v>391</v>
      </c>
      <c r="M153" s="249">
        <v>34.07</v>
      </c>
      <c r="N153" s="249"/>
      <c r="O153" s="250">
        <f>IF(ISBLANK(CkReg15_16[[#This Row],[Withdrawal]]),O152+CkReg15_16[[#This Row],[Deposit]],O152-CkReg15_16[[#This Row],[Withdrawal]])</f>
        <v>15308.67999999998</v>
      </c>
      <c r="P153" s="251">
        <v>42649</v>
      </c>
      <c r="Q153" s="250">
        <f>IF(ISBLANK(CkReg15_16[[#This Row],[Withdrawal]]),Q152+CkReg15_16[[#This Row],[Deposit]],Q152-CkReg15_16[[#This Row],[Withdrawal]])</f>
        <v>20308.680000000004</v>
      </c>
      <c r="R153" s="263"/>
      <c r="T153" s="198"/>
    </row>
    <row r="154" spans="8:20" s="96" customFormat="1" ht="13.8" x14ac:dyDescent="0.3">
      <c r="H154" s="277" t="s">
        <v>620</v>
      </c>
      <c r="I154" s="231">
        <v>42644</v>
      </c>
      <c r="J154" s="238" t="s">
        <v>172</v>
      </c>
      <c r="K154" s="239" t="s">
        <v>575</v>
      </c>
      <c r="L154" s="238" t="s">
        <v>70</v>
      </c>
      <c r="M154" s="249">
        <f>47.52+11.75+36.25</f>
        <v>95.52000000000001</v>
      </c>
      <c r="N154" s="249"/>
      <c r="O154" s="250">
        <f>IF(ISBLANK(CkReg15_16[[#This Row],[Withdrawal]]),O153+CkReg15_16[[#This Row],[Deposit]],O153-CkReg15_16[[#This Row],[Withdrawal]])</f>
        <v>15213.15999999998</v>
      </c>
      <c r="P154" s="251">
        <v>42649</v>
      </c>
      <c r="Q154" s="250">
        <f>IF(ISBLANK(CkReg15_16[[#This Row],[Withdrawal]]),Q153+CkReg15_16[[#This Row],[Deposit]],Q153-CkReg15_16[[#This Row],[Withdrawal]])</f>
        <v>20213.160000000003</v>
      </c>
      <c r="R154" s="263"/>
      <c r="T154" s="198"/>
    </row>
    <row r="155" spans="8:20" s="96" customFormat="1" ht="13.8" x14ac:dyDescent="0.3">
      <c r="H155" s="277" t="s">
        <v>620</v>
      </c>
      <c r="I155" s="231">
        <v>42644</v>
      </c>
      <c r="J155" s="238" t="s">
        <v>172</v>
      </c>
      <c r="K155" s="239" t="s">
        <v>482</v>
      </c>
      <c r="L155" s="238" t="s">
        <v>391</v>
      </c>
      <c r="M155" s="249"/>
      <c r="N155" s="249">
        <v>150</v>
      </c>
      <c r="O155" s="250">
        <f>IF(ISBLANK(CkReg15_16[[#This Row],[Withdrawal]]),O154+CkReg15_16[[#This Row],[Deposit]],O154-CkReg15_16[[#This Row],[Withdrawal]])</f>
        <v>15363.15999999998</v>
      </c>
      <c r="P155" s="251">
        <v>42649</v>
      </c>
      <c r="Q155" s="250">
        <f>IF(ISBLANK(CkReg15_16[[#This Row],[Withdrawal]]),Q154+CkReg15_16[[#This Row],[Deposit]],Q154-CkReg15_16[[#This Row],[Withdrawal]])</f>
        <v>20363.160000000003</v>
      </c>
      <c r="R155" s="263"/>
      <c r="T155" s="198"/>
    </row>
    <row r="156" spans="8:20" s="96" customFormat="1" ht="13.8" x14ac:dyDescent="0.3">
      <c r="H156" s="277"/>
      <c r="I156" s="231">
        <v>42644</v>
      </c>
      <c r="J156" s="238" t="s">
        <v>557</v>
      </c>
      <c r="K156" s="239"/>
      <c r="L156" s="238"/>
      <c r="M156" s="249"/>
      <c r="N156" s="249">
        <v>1.02</v>
      </c>
      <c r="O156" s="250">
        <f>IF(ISBLANK(CkReg15_16[[#This Row],[Withdrawal]]),O155+CkReg15_16[[#This Row],[Deposit]],O155-CkReg15_16[[#This Row],[Withdrawal]])</f>
        <v>15364.17999999998</v>
      </c>
      <c r="P156" s="251">
        <v>42649</v>
      </c>
      <c r="Q156" s="250">
        <f>IF(ISBLANK(CkReg15_16[[#This Row],[Withdrawal]]),Q155+CkReg15_16[[#This Row],[Deposit]],Q155-CkReg15_16[[#This Row],[Withdrawal]])</f>
        <v>20364.180000000004</v>
      </c>
      <c r="R156" s="263"/>
      <c r="T156" s="198"/>
    </row>
    <row r="157" spans="8:20" s="96" customFormat="1" ht="13.8" x14ac:dyDescent="0.3">
      <c r="H157" s="277" t="s">
        <v>521</v>
      </c>
      <c r="I157" s="231">
        <v>42644</v>
      </c>
      <c r="J157" s="238" t="s">
        <v>156</v>
      </c>
      <c r="K157" s="239" t="s">
        <v>523</v>
      </c>
      <c r="L157" s="238" t="s">
        <v>391</v>
      </c>
      <c r="M157" s="249">
        <v>34.07</v>
      </c>
      <c r="N157" s="249"/>
      <c r="O157" s="250">
        <f>IF(ISBLANK(CkReg15_16[[#This Row],[Withdrawal]]),O156+CkReg15_16[[#This Row],[Deposit]],O156-CkReg15_16[[#This Row],[Withdrawal]])</f>
        <v>15330.109999999981</v>
      </c>
      <c r="P157" s="251">
        <v>42647</v>
      </c>
      <c r="Q157" s="250">
        <f>IF(ISBLANK(CkReg15_16[[#This Row],[Withdrawal]]),Q156+CkReg15_16[[#This Row],[Deposit]],Q156-CkReg15_16[[#This Row],[Withdrawal]])</f>
        <v>20330.110000000004</v>
      </c>
      <c r="R157" s="263"/>
      <c r="T157" s="198"/>
    </row>
    <row r="158" spans="8:20" s="96" customFormat="1" ht="13.8" x14ac:dyDescent="0.3">
      <c r="H158" s="277" t="s">
        <v>521</v>
      </c>
      <c r="I158" s="231">
        <v>42644</v>
      </c>
      <c r="J158" s="238" t="s">
        <v>156</v>
      </c>
      <c r="K158" s="239" t="s">
        <v>524</v>
      </c>
      <c r="L158" s="238" t="s">
        <v>389</v>
      </c>
      <c r="M158" s="249">
        <f>34.07+108.78</f>
        <v>142.85</v>
      </c>
      <c r="N158" s="249"/>
      <c r="O158" s="250">
        <f>IF(ISBLANK(CkReg15_16[[#This Row],[Withdrawal]]),O157+CkReg15_16[[#This Row],[Deposit]],O157-CkReg15_16[[#This Row],[Withdrawal]])</f>
        <v>15187.25999999998</v>
      </c>
      <c r="P158" s="251">
        <v>42647</v>
      </c>
      <c r="Q158" s="250">
        <f>IF(ISBLANK(CkReg15_16[[#This Row],[Withdrawal]]),Q157+CkReg15_16[[#This Row],[Deposit]],Q157-CkReg15_16[[#This Row],[Withdrawal]])</f>
        <v>20187.260000000006</v>
      </c>
      <c r="R158" s="263"/>
      <c r="T158" s="198"/>
    </row>
    <row r="159" spans="8:20" s="96" customFormat="1" ht="13.8" x14ac:dyDescent="0.3">
      <c r="H159" s="277" t="s">
        <v>525</v>
      </c>
      <c r="I159" s="231">
        <v>42644</v>
      </c>
      <c r="J159" s="238" t="s">
        <v>363</v>
      </c>
      <c r="K159" s="239" t="s">
        <v>526</v>
      </c>
      <c r="L159" s="238" t="s">
        <v>52</v>
      </c>
      <c r="M159" s="249">
        <v>11.1</v>
      </c>
      <c r="N159" s="249"/>
      <c r="O159" s="250">
        <f>IF(ISBLANK(CkReg15_16[[#This Row],[Withdrawal]]),O158+CkReg15_16[[#This Row],[Deposit]],O158-CkReg15_16[[#This Row],[Withdrawal]])</f>
        <v>15176.15999999998</v>
      </c>
      <c r="P159" s="251">
        <v>42647</v>
      </c>
      <c r="Q159" s="250">
        <f>IF(ISBLANK(CkReg15_16[[#This Row],[Withdrawal]]),Q158+CkReg15_16[[#This Row],[Deposit]],Q158-CkReg15_16[[#This Row],[Withdrawal]])</f>
        <v>20176.160000000007</v>
      </c>
      <c r="R159" s="263"/>
    </row>
    <row r="160" spans="8:20" s="96" customFormat="1" ht="13.8" x14ac:dyDescent="0.3">
      <c r="H160" s="283" t="s">
        <v>538</v>
      </c>
      <c r="I160" s="231">
        <v>42644</v>
      </c>
      <c r="J160" s="238" t="s">
        <v>362</v>
      </c>
      <c r="K160" s="239" t="s">
        <v>526</v>
      </c>
      <c r="L160" s="238" t="s">
        <v>39</v>
      </c>
      <c r="M160" s="249">
        <f>82.44-6.87-15</f>
        <v>60.569999999999993</v>
      </c>
      <c r="N160" s="249"/>
      <c r="O160" s="250">
        <f>IF(ISBLANK(CkReg15_16[[#This Row],[Withdrawal]]),O159+CkReg15_16[[#This Row],[Deposit]],O159-CkReg15_16[[#This Row],[Withdrawal]])</f>
        <v>15115.58999999998</v>
      </c>
      <c r="P160" s="251">
        <v>42654</v>
      </c>
      <c r="Q160" s="250">
        <f>IF(ISBLANK(CkReg15_16[[#This Row],[Withdrawal]]),Q159+CkReg15_16[[#This Row],[Deposit]],Q159-CkReg15_16[[#This Row],[Withdrawal]])</f>
        <v>20115.590000000007</v>
      </c>
      <c r="R160" s="263"/>
    </row>
    <row r="161" spans="8:20" s="96" customFormat="1" ht="13.8" x14ac:dyDescent="0.3">
      <c r="H161" s="283" t="s">
        <v>538</v>
      </c>
      <c r="I161" s="231">
        <v>42644</v>
      </c>
      <c r="J161" s="238" t="s">
        <v>362</v>
      </c>
      <c r="K161" s="239" t="s">
        <v>482</v>
      </c>
      <c r="L161" s="238" t="s">
        <v>391</v>
      </c>
      <c r="M161" s="249">
        <v>6.87</v>
      </c>
      <c r="N161" s="249"/>
      <c r="O161" s="250">
        <f>IF(ISBLANK(CkReg15_16[[#This Row],[Withdrawal]]),O160+CkReg15_16[[#This Row],[Deposit]],O160-CkReg15_16[[#This Row],[Withdrawal]])</f>
        <v>15108.719999999979</v>
      </c>
      <c r="P161" s="251">
        <v>42654</v>
      </c>
      <c r="Q161" s="250">
        <f>IF(ISBLANK(CkReg15_16[[#This Row],[Withdrawal]]),Q160+CkReg15_16[[#This Row],[Deposit]],Q160-CkReg15_16[[#This Row],[Withdrawal]])</f>
        <v>20108.720000000008</v>
      </c>
      <c r="R161" s="263"/>
    </row>
    <row r="162" spans="8:20" s="96" customFormat="1" ht="13.8" x14ac:dyDescent="0.3">
      <c r="H162" s="283" t="s">
        <v>538</v>
      </c>
      <c r="I162" s="231">
        <v>42644</v>
      </c>
      <c r="J162" s="238" t="s">
        <v>362</v>
      </c>
      <c r="K162" s="239" t="s">
        <v>526</v>
      </c>
      <c r="L162" s="238" t="s">
        <v>389</v>
      </c>
      <c r="M162" s="249">
        <v>15</v>
      </c>
      <c r="N162" s="249"/>
      <c r="O162" s="250">
        <f>IF(ISBLANK(CkReg15_16[[#This Row],[Withdrawal]]),O161+CkReg15_16[[#This Row],[Deposit]],O161-CkReg15_16[[#This Row],[Withdrawal]])</f>
        <v>15093.719999999979</v>
      </c>
      <c r="P162" s="251">
        <v>42654</v>
      </c>
      <c r="Q162" s="250">
        <f>IF(ISBLANK(CkReg15_16[[#This Row],[Withdrawal]]),Q161+CkReg15_16[[#This Row],[Deposit]],Q161-CkReg15_16[[#This Row],[Withdrawal]])</f>
        <v>20093.720000000008</v>
      </c>
      <c r="R162" s="263"/>
    </row>
    <row r="163" spans="8:20" s="96" customFormat="1" ht="13.95" customHeight="1" x14ac:dyDescent="0.3">
      <c r="H163" s="277" t="s">
        <v>532</v>
      </c>
      <c r="I163" s="231">
        <v>42644</v>
      </c>
      <c r="J163" s="238" t="s">
        <v>128</v>
      </c>
      <c r="K163" s="239" t="s">
        <v>533</v>
      </c>
      <c r="L163" s="238" t="s">
        <v>74</v>
      </c>
      <c r="M163" s="249">
        <v>135.96</v>
      </c>
      <c r="N163" s="249"/>
      <c r="O163" s="250">
        <f>IF(ISBLANK(CkReg15_16[[#This Row],[Withdrawal]]),O162+CkReg15_16[[#This Row],[Deposit]],O162-CkReg15_16[[#This Row],[Withdrawal]])</f>
        <v>14957.75999999998</v>
      </c>
      <c r="P163" s="251">
        <v>42688</v>
      </c>
      <c r="Q163" s="250">
        <f>IF(ISBLANK(CkReg15_16[[#This Row],[Withdrawal]]),Q162+CkReg15_16[[#This Row],[Deposit]],Q162-CkReg15_16[[#This Row],[Withdrawal]])</f>
        <v>19957.760000000009</v>
      </c>
      <c r="R163" s="263"/>
    </row>
    <row r="164" spans="8:20" s="96" customFormat="1" ht="13.8" x14ac:dyDescent="0.3">
      <c r="H164" s="277" t="s">
        <v>535</v>
      </c>
      <c r="I164" s="231">
        <v>42644</v>
      </c>
      <c r="J164" s="238" t="s">
        <v>92</v>
      </c>
      <c r="K164" s="239" t="s">
        <v>413</v>
      </c>
      <c r="L164" s="238" t="s">
        <v>43</v>
      </c>
      <c r="M164" s="249">
        <v>75</v>
      </c>
      <c r="N164" s="249"/>
      <c r="O164" s="250">
        <f>IF(ISBLANK(CkReg15_16[[#This Row],[Withdrawal]]),O163+CkReg15_16[[#This Row],[Deposit]],O163-CkReg15_16[[#This Row],[Withdrawal]])</f>
        <v>14882.75999999998</v>
      </c>
      <c r="P164" s="251">
        <v>42655</v>
      </c>
      <c r="Q164" s="250">
        <f>IF(ISBLANK(CkReg15_16[[#This Row],[Withdrawal]]),Q163+CkReg15_16[[#This Row],[Deposit]],Q163-CkReg15_16[[#This Row],[Withdrawal]])</f>
        <v>19882.760000000009</v>
      </c>
      <c r="R164" s="263"/>
    </row>
    <row r="165" spans="8:20" s="96" customFormat="1" ht="13.95" customHeight="1" x14ac:dyDescent="0.3">
      <c r="H165" s="277" t="s">
        <v>604</v>
      </c>
      <c r="I165" s="231">
        <v>42704</v>
      </c>
      <c r="J165" s="238" t="s">
        <v>545</v>
      </c>
      <c r="K165" s="239" t="s">
        <v>546</v>
      </c>
      <c r="L165" s="238" t="s">
        <v>389</v>
      </c>
      <c r="M165" s="249"/>
      <c r="N165" s="249">
        <v>125</v>
      </c>
      <c r="O165" s="250">
        <f>IF(ISBLANK(CkReg15_16[[#This Row],[Withdrawal]]),O164+CkReg15_16[[#This Row],[Deposit]],O164-CkReg15_16[[#This Row],[Withdrawal]])</f>
        <v>15007.75999999998</v>
      </c>
      <c r="P165" s="251">
        <v>42704</v>
      </c>
      <c r="Q165" s="250">
        <f>IF(ISBLANK(CkReg15_16[[#This Row],[Withdrawal]]),Q164+CkReg15_16[[#This Row],[Deposit]],Q164-CkReg15_16[[#This Row],[Withdrawal]])</f>
        <v>20007.760000000009</v>
      </c>
      <c r="R165" s="263"/>
    </row>
    <row r="166" spans="8:20" s="96" customFormat="1" ht="13.95" customHeight="1" x14ac:dyDescent="0.3">
      <c r="H166" s="277" t="s">
        <v>605</v>
      </c>
      <c r="I166" s="231">
        <v>42704</v>
      </c>
      <c r="J166" s="238" t="s">
        <v>146</v>
      </c>
      <c r="K166" s="239" t="s">
        <v>547</v>
      </c>
      <c r="L166" s="238"/>
      <c r="M166" s="249"/>
      <c r="N166" s="249">
        <v>24</v>
      </c>
      <c r="O166" s="250">
        <f>IF(ISBLANK(CkReg15_16[[#This Row],[Withdrawal]]),O165+CkReg15_16[[#This Row],[Deposit]],O165-CkReg15_16[[#This Row],[Withdrawal]])</f>
        <v>15031.75999999998</v>
      </c>
      <c r="P166" s="251">
        <v>42704</v>
      </c>
      <c r="Q166" s="250">
        <f>IF(ISBLANK(CkReg15_16[[#This Row],[Withdrawal]]),Q165+CkReg15_16[[#This Row],[Deposit]],Q165-CkReg15_16[[#This Row],[Withdrawal]])</f>
        <v>20031.760000000009</v>
      </c>
      <c r="R166" s="263"/>
    </row>
    <row r="167" spans="8:20" s="96" customFormat="1" ht="13.8" x14ac:dyDescent="0.3">
      <c r="H167" s="277" t="s">
        <v>552</v>
      </c>
      <c r="I167" s="231">
        <v>42654</v>
      </c>
      <c r="J167" s="238" t="s">
        <v>136</v>
      </c>
      <c r="K167" s="239" t="s">
        <v>548</v>
      </c>
      <c r="L167" s="238" t="s">
        <v>51</v>
      </c>
      <c r="M167" s="249">
        <v>80</v>
      </c>
      <c r="N167" s="249"/>
      <c r="O167" s="250">
        <f>IF(ISBLANK(CkReg15_16[[#This Row],[Withdrawal]]),O166+CkReg15_16[[#This Row],[Deposit]],O166-CkReg15_16[[#This Row],[Withdrawal]])</f>
        <v>14951.75999999998</v>
      </c>
      <c r="P167" s="251">
        <v>42655</v>
      </c>
      <c r="Q167" s="250">
        <f>IF(ISBLANK(CkReg15_16[[#This Row],[Withdrawal]]),Q166+CkReg15_16[[#This Row],[Deposit]],Q166-CkReg15_16[[#This Row],[Withdrawal]])</f>
        <v>19951.760000000009</v>
      </c>
      <c r="R167" s="263"/>
    </row>
    <row r="168" spans="8:20" s="96" customFormat="1" ht="13.8" x14ac:dyDescent="0.3">
      <c r="H168" s="277" t="s">
        <v>551</v>
      </c>
      <c r="I168" s="231">
        <v>42673</v>
      </c>
      <c r="J168" s="238" t="s">
        <v>136</v>
      </c>
      <c r="K168" s="239" t="s">
        <v>549</v>
      </c>
      <c r="L168" s="238" t="s">
        <v>34</v>
      </c>
      <c r="M168" s="249">
        <v>108.63</v>
      </c>
      <c r="N168" s="249"/>
      <c r="O168" s="250">
        <f>IF(ISBLANK(CkReg15_16[[#This Row],[Withdrawal]]),O167+CkReg15_16[[#This Row],[Deposit]],O167-CkReg15_16[[#This Row],[Withdrawal]])</f>
        <v>14843.129999999981</v>
      </c>
      <c r="P168" s="251">
        <v>42674</v>
      </c>
      <c r="Q168" s="250">
        <f>IF(ISBLANK(CkReg15_16[[#This Row],[Withdrawal]]),Q167+CkReg15_16[[#This Row],[Deposit]],Q167-CkReg15_16[[#This Row],[Withdrawal]])</f>
        <v>19843.130000000008</v>
      </c>
      <c r="R168" s="263"/>
    </row>
    <row r="169" spans="8:20" s="96" customFormat="1" ht="13.95" customHeight="1" x14ac:dyDescent="0.3">
      <c r="H169" s="277" t="s">
        <v>550</v>
      </c>
      <c r="I169" s="231">
        <v>42674</v>
      </c>
      <c r="J169" s="238" t="s">
        <v>156</v>
      </c>
      <c r="K169" s="239" t="s">
        <v>553</v>
      </c>
      <c r="L169" s="238" t="s">
        <v>34</v>
      </c>
      <c r="M169" s="249">
        <v>41</v>
      </c>
      <c r="N169" s="249"/>
      <c r="O169" s="250">
        <f>IF(ISBLANK(CkReg15_16[[#This Row],[Withdrawal]]),O168+CkReg15_16[[#This Row],[Deposit]],O168-CkReg15_16[[#This Row],[Withdrawal]])</f>
        <v>14802.129999999981</v>
      </c>
      <c r="P169" s="251">
        <v>42691</v>
      </c>
      <c r="Q169" s="250">
        <f>IF(ISBLANK(CkReg15_16[[#This Row],[Withdrawal]]),Q168+CkReg15_16[[#This Row],[Deposit]],Q168-CkReg15_16[[#This Row],[Withdrawal]])</f>
        <v>19802.130000000008</v>
      </c>
      <c r="R169" s="263"/>
    </row>
    <row r="170" spans="8:20" s="96" customFormat="1" ht="13.95" customHeight="1" x14ac:dyDescent="0.3">
      <c r="H170" s="277" t="s">
        <v>536</v>
      </c>
      <c r="I170" s="231">
        <v>42644</v>
      </c>
      <c r="J170" s="238" t="s">
        <v>172</v>
      </c>
      <c r="K170" s="239" t="s">
        <v>537</v>
      </c>
      <c r="L170" s="238" t="s">
        <v>391</v>
      </c>
      <c r="M170" s="249">
        <v>175</v>
      </c>
      <c r="N170" s="249"/>
      <c r="O170" s="250">
        <f>IF(ISBLANK(CkReg15_16[[#This Row],[Withdrawal]]),O169+CkReg15_16[[#This Row],[Deposit]],O169-CkReg15_16[[#This Row],[Withdrawal]])</f>
        <v>14627.129999999981</v>
      </c>
      <c r="P170" s="251"/>
      <c r="Q170" s="250">
        <f>IF(ISBLANK(CkReg15_16[[#This Row],[Withdrawal]]),Q169+CkReg15_16[[#This Row],[Deposit]],Q169-CkReg15_16[[#This Row],[Withdrawal]])</f>
        <v>19627.130000000008</v>
      </c>
      <c r="R170" s="263"/>
    </row>
    <row r="171" spans="8:20" s="96" customFormat="1" ht="13.8" x14ac:dyDescent="0.3">
      <c r="H171" s="277" t="s">
        <v>539</v>
      </c>
      <c r="I171" s="231">
        <v>42654</v>
      </c>
      <c r="J171" s="238" t="s">
        <v>82</v>
      </c>
      <c r="K171" s="239"/>
      <c r="L171" s="238" t="s">
        <v>46</v>
      </c>
      <c r="M171" s="249">
        <v>913</v>
      </c>
      <c r="N171" s="249"/>
      <c r="O171" s="250">
        <f>IF(ISBLANK(CkReg15_16[[#This Row],[Withdrawal]]),O170+CkReg15_16[[#This Row],[Deposit]],O170-CkReg15_16[[#This Row],[Withdrawal]])</f>
        <v>13714.129999999981</v>
      </c>
      <c r="P171" s="251">
        <v>42660</v>
      </c>
      <c r="Q171" s="250">
        <f>IF(ISBLANK(CkReg15_16[[#This Row],[Withdrawal]]),Q170+CkReg15_16[[#This Row],[Deposit]],Q170-CkReg15_16[[#This Row],[Withdrawal]])</f>
        <v>18714.130000000008</v>
      </c>
      <c r="R171" s="263"/>
    </row>
    <row r="172" spans="8:20" s="96" customFormat="1" ht="13.95" customHeight="1" x14ac:dyDescent="0.3">
      <c r="H172" s="277" t="s">
        <v>540</v>
      </c>
      <c r="I172" s="231">
        <v>42654</v>
      </c>
      <c r="J172" s="238" t="s">
        <v>541</v>
      </c>
      <c r="K172" s="239"/>
      <c r="L172" s="238" t="s">
        <v>58</v>
      </c>
      <c r="M172" s="249">
        <v>2930.52</v>
      </c>
      <c r="N172" s="249"/>
      <c r="O172" s="250">
        <f>IF(ISBLANK(CkReg15_16[[#This Row],[Withdrawal]]),O171+CkReg15_16[[#This Row],[Deposit]],O171-CkReg15_16[[#This Row],[Withdrawal]])</f>
        <v>10783.609999999981</v>
      </c>
      <c r="P172" s="251">
        <v>42683</v>
      </c>
      <c r="Q172" s="250">
        <f>IF(ISBLANK(CkReg15_16[[#This Row],[Withdrawal]]),Q171+CkReg15_16[[#This Row],[Deposit]],Q171-CkReg15_16[[#This Row],[Withdrawal]])</f>
        <v>15783.610000000008</v>
      </c>
      <c r="R172" s="263"/>
    </row>
    <row r="173" spans="8:20" s="96" customFormat="1" ht="13.95" customHeight="1" x14ac:dyDescent="0.3">
      <c r="H173" s="284" t="s">
        <v>542</v>
      </c>
      <c r="I173" s="237">
        <v>42654</v>
      </c>
      <c r="J173" s="245" t="s">
        <v>543</v>
      </c>
      <c r="K173" s="242"/>
      <c r="L173" s="245"/>
      <c r="M173" s="273"/>
      <c r="N173" s="273"/>
      <c r="O173" s="250">
        <f>IF(ISBLANK(CkReg15_16[[#This Row],[Withdrawal]]),O172+CkReg15_16[[#This Row],[Deposit]],O172-CkReg15_16[[#This Row],[Withdrawal]])</f>
        <v>10783.609999999981</v>
      </c>
      <c r="P173" s="251">
        <v>42674</v>
      </c>
      <c r="Q173" s="250">
        <f>IF(ISBLANK(CkReg15_16[[#This Row],[Withdrawal]]),Q172+CkReg15_16[[#This Row],[Deposit]],Q172-CkReg15_16[[#This Row],[Withdrawal]])</f>
        <v>15783.610000000008</v>
      </c>
      <c r="R173" s="274"/>
    </row>
    <row r="174" spans="8:20" s="96" customFormat="1" ht="13.8" x14ac:dyDescent="0.3">
      <c r="H174" s="277" t="s">
        <v>544</v>
      </c>
      <c r="I174" s="231">
        <v>42654</v>
      </c>
      <c r="J174" s="238" t="s">
        <v>79</v>
      </c>
      <c r="K174" s="239"/>
      <c r="L174" s="238" t="s">
        <v>59</v>
      </c>
      <c r="M174" s="249">
        <v>1953.68</v>
      </c>
      <c r="N174" s="249"/>
      <c r="O174" s="250">
        <f>IF(ISBLANK(CkReg15_16[[#This Row],[Withdrawal]]),O173+CkReg15_16[[#This Row],[Deposit]],O173-CkReg15_16[[#This Row],[Withdrawal]])</f>
        <v>8829.9299999999803</v>
      </c>
      <c r="P174" s="251">
        <v>42664</v>
      </c>
      <c r="Q174" s="250">
        <f>IF(ISBLANK(CkReg15_16[[#This Row],[Withdrawal]]),Q173+CkReg15_16[[#This Row],[Deposit]],Q173-CkReg15_16[[#This Row],[Withdrawal]])</f>
        <v>13829.930000000008</v>
      </c>
      <c r="R174" s="263"/>
    </row>
    <row r="175" spans="8:20" s="96" customFormat="1" ht="13.8" x14ac:dyDescent="0.3">
      <c r="H175" s="277"/>
      <c r="I175" s="231">
        <v>42674</v>
      </c>
      <c r="J175" s="238"/>
      <c r="K175" s="239"/>
      <c r="L175" s="238" t="s">
        <v>91</v>
      </c>
      <c r="M175" s="249"/>
      <c r="N175" s="249">
        <v>0.92</v>
      </c>
      <c r="O175" s="250">
        <f>IF(ISBLANK(CkReg15_16[[#This Row],[Withdrawal]]),O174+CkReg15_16[[#This Row],[Deposit]],O174-CkReg15_16[[#This Row],[Withdrawal]])</f>
        <v>8830.8499999999804</v>
      </c>
      <c r="P175" s="251">
        <v>42674</v>
      </c>
      <c r="Q175" s="250">
        <f>IF(ISBLANK(CkReg15_16[[#This Row],[Withdrawal]]),Q174+CkReg15_16[[#This Row],[Deposit]],Q174-CkReg15_16[[#This Row],[Withdrawal]])</f>
        <v>13830.850000000008</v>
      </c>
      <c r="R175" s="261">
        <v>42674</v>
      </c>
      <c r="T175" s="96">
        <f>+T125-T126</f>
        <v>0</v>
      </c>
    </row>
    <row r="176" spans="8:20" s="96" customFormat="1" ht="13.8" x14ac:dyDescent="0.3">
      <c r="H176" s="277"/>
      <c r="I176" s="231">
        <v>42704</v>
      </c>
      <c r="J176" s="238"/>
      <c r="K176" s="239"/>
      <c r="L176" s="238" t="s">
        <v>91</v>
      </c>
      <c r="M176" s="249"/>
      <c r="N176" s="249">
        <v>0.6</v>
      </c>
      <c r="O176" s="250">
        <f>IF(ISBLANK(CkReg15_16[[#This Row],[Withdrawal]]),O175+CkReg15_16[[#This Row],[Deposit]],O175-CkReg15_16[[#This Row],[Withdrawal]])</f>
        <v>8831.4499999999807</v>
      </c>
      <c r="P176" s="251">
        <v>42704</v>
      </c>
      <c r="Q176" s="250">
        <f>IF(ISBLANK(CkReg15_16[[#This Row],[Withdrawal]]),Q175+CkReg15_16[[#This Row],[Deposit]],Q175-CkReg15_16[[#This Row],[Withdrawal]])</f>
        <v>13831.450000000008</v>
      </c>
      <c r="R176" s="261">
        <v>42704</v>
      </c>
      <c r="T176" s="96">
        <f>+T126-T127</f>
        <v>0</v>
      </c>
    </row>
    <row r="177" spans="8:19" s="96" customFormat="1" ht="13.8" x14ac:dyDescent="0.3">
      <c r="H177" s="285"/>
      <c r="I177" s="231"/>
      <c r="J177" s="238"/>
      <c r="K177" s="238"/>
      <c r="L177" s="238"/>
      <c r="M177" s="275">
        <f>SUBTOTAL(109,CkReg15_16[Withdrawal])</f>
        <v>34530.259999999995</v>
      </c>
      <c r="N177" s="275">
        <f>SUBTOTAL(109,CkReg15_16[Deposit])</f>
        <v>43361.709999999977</v>
      </c>
      <c r="O177" s="275">
        <f>+CkReg15_16[[#Totals],[Deposit]]-CkReg15_16[[#Totals],[Withdrawal]]</f>
        <v>8831.4499999999825</v>
      </c>
      <c r="P177" s="276"/>
      <c r="Q177" s="263"/>
      <c r="R177" s="263"/>
    </row>
    <row r="178" spans="8:19" s="96" customFormat="1" ht="13.8" x14ac:dyDescent="0.3">
      <c r="H178" s="87"/>
      <c r="I178" s="182"/>
      <c r="J178" s="246"/>
      <c r="K178" s="87"/>
      <c r="L178" s="87"/>
      <c r="M178" s="87"/>
      <c r="N178" s="191"/>
      <c r="O178" s="191"/>
      <c r="P178" s="191"/>
      <c r="Q178" s="182"/>
      <c r="R178" s="87"/>
    </row>
    <row r="179" spans="8:19" s="96" customFormat="1" ht="13.8" x14ac:dyDescent="0.3">
      <c r="H179" s="87"/>
      <c r="I179" s="182"/>
      <c r="J179" s="246"/>
      <c r="K179" s="87"/>
      <c r="L179" s="87"/>
      <c r="M179" s="87"/>
      <c r="N179" s="191"/>
      <c r="O179" s="191"/>
      <c r="P179" s="191"/>
      <c r="Q179" s="182"/>
      <c r="R179" s="87"/>
    </row>
    <row r="180" spans="8:19" s="96" customFormat="1" ht="13.8" x14ac:dyDescent="0.3">
      <c r="H180" s="87"/>
      <c r="I180" s="182"/>
      <c r="J180" s="246"/>
      <c r="K180" s="87"/>
      <c r="L180" s="87"/>
      <c r="M180" s="87"/>
      <c r="N180" s="191"/>
      <c r="O180" s="191"/>
      <c r="P180" s="191"/>
      <c r="Q180" s="182"/>
      <c r="R180" s="87"/>
    </row>
    <row r="181" spans="8:19" s="96" customFormat="1" ht="13.8" x14ac:dyDescent="0.3">
      <c r="H181" s="87"/>
      <c r="I181" s="182"/>
      <c r="J181" s="246"/>
      <c r="K181" s="87"/>
      <c r="L181" s="87"/>
      <c r="M181" s="87"/>
      <c r="N181" s="191"/>
      <c r="O181" s="191"/>
      <c r="P181" s="191"/>
      <c r="Q181" s="182"/>
      <c r="R181" s="87"/>
    </row>
    <row r="182" spans="8:19" s="96" customFormat="1" ht="13.8" x14ac:dyDescent="0.3">
      <c r="H182" s="87"/>
      <c r="I182" s="182"/>
      <c r="J182" s="246"/>
      <c r="K182" s="87"/>
      <c r="L182" s="87"/>
      <c r="M182" s="87"/>
      <c r="N182" s="191"/>
      <c r="O182" s="191"/>
      <c r="P182" s="191"/>
      <c r="Q182" s="182"/>
      <c r="R182" s="87"/>
    </row>
    <row r="183" spans="8:19" s="96" customFormat="1" ht="13.8" x14ac:dyDescent="0.3">
      <c r="H183" s="87"/>
      <c r="I183" s="182"/>
      <c r="J183" s="246"/>
      <c r="K183" s="87"/>
      <c r="L183" s="87"/>
      <c r="M183" s="87"/>
      <c r="N183" s="191"/>
      <c r="O183" s="191"/>
      <c r="P183" s="191"/>
      <c r="Q183" s="182"/>
      <c r="R183" s="87"/>
    </row>
    <row r="184" spans="8:19" s="96" customFormat="1" ht="13.8" x14ac:dyDescent="0.3">
      <c r="H184" s="87"/>
      <c r="I184" s="182"/>
      <c r="J184" s="246"/>
      <c r="K184" s="87"/>
      <c r="L184" s="87"/>
      <c r="M184" s="87"/>
      <c r="N184" s="191"/>
      <c r="O184" s="191"/>
      <c r="P184" s="191"/>
      <c r="Q184" s="182"/>
      <c r="R184" s="87"/>
    </row>
    <row r="185" spans="8:19" s="96" customFormat="1" ht="13.8" x14ac:dyDescent="0.3">
      <c r="H185" s="87"/>
      <c r="I185" s="182"/>
      <c r="J185" s="246"/>
      <c r="K185" s="87"/>
      <c r="L185" s="87"/>
      <c r="M185" s="87"/>
      <c r="N185" s="191"/>
      <c r="O185" s="191"/>
      <c r="P185" s="191"/>
      <c r="Q185" s="182"/>
      <c r="R185" s="87"/>
    </row>
    <row r="186" spans="8:19" s="96" customFormat="1" ht="13.8" x14ac:dyDescent="0.3">
      <c r="H186" s="87"/>
      <c r="I186" s="182"/>
      <c r="J186" s="246"/>
      <c r="K186" s="87"/>
      <c r="L186" s="87"/>
      <c r="M186" s="87"/>
      <c r="N186" s="191"/>
      <c r="O186" s="191"/>
      <c r="P186" s="191"/>
      <c r="Q186" s="182"/>
      <c r="R186" s="87"/>
    </row>
    <row r="187" spans="8:19" s="96" customFormat="1" ht="13.8" x14ac:dyDescent="0.3">
      <c r="H187" s="87"/>
      <c r="I187" s="182"/>
      <c r="J187" s="246"/>
      <c r="K187" s="87"/>
      <c r="L187" s="87"/>
      <c r="M187" s="87"/>
      <c r="N187" s="191"/>
      <c r="O187" s="191"/>
      <c r="P187" s="191"/>
      <c r="Q187" s="182"/>
      <c r="R187" s="87"/>
    </row>
    <row r="188" spans="8:19" s="96" customFormat="1" ht="13.8" x14ac:dyDescent="0.3">
      <c r="H188" s="87"/>
      <c r="I188" s="182"/>
      <c r="J188" s="246"/>
      <c r="K188" s="87"/>
      <c r="L188" s="87"/>
      <c r="M188" s="87"/>
      <c r="N188" s="191"/>
      <c r="O188" s="191"/>
      <c r="P188" s="191"/>
      <c r="Q188" s="182"/>
      <c r="R188" s="87"/>
      <c r="S188" s="99"/>
    </row>
    <row r="189" spans="8:19" s="96" customFormat="1" ht="13.8" x14ac:dyDescent="0.3">
      <c r="H189" s="87"/>
      <c r="I189" s="182"/>
      <c r="J189" s="246"/>
      <c r="K189" s="87"/>
      <c r="L189" s="87"/>
      <c r="M189" s="87"/>
      <c r="N189" s="191"/>
      <c r="O189" s="191"/>
      <c r="P189" s="191"/>
      <c r="Q189" s="182"/>
      <c r="R189" s="87"/>
    </row>
    <row r="190" spans="8:19" s="96" customFormat="1" ht="13.8" x14ac:dyDescent="0.3">
      <c r="H190" s="87"/>
      <c r="I190" s="182"/>
      <c r="J190" s="246"/>
      <c r="K190" s="87"/>
      <c r="L190" s="87"/>
      <c r="M190" s="87"/>
      <c r="N190" s="191"/>
      <c r="O190" s="191"/>
      <c r="P190" s="191"/>
      <c r="Q190" s="182"/>
      <c r="R190" s="87"/>
    </row>
    <row r="191" spans="8:19" s="96" customFormat="1" ht="13.8" x14ac:dyDescent="0.3">
      <c r="H191" s="87"/>
      <c r="I191" s="182"/>
      <c r="J191" s="246"/>
      <c r="K191" s="87"/>
      <c r="L191" s="87"/>
      <c r="M191" s="87"/>
      <c r="N191" s="191"/>
      <c r="O191" s="191"/>
      <c r="P191" s="191"/>
      <c r="Q191" s="182"/>
      <c r="R191" s="87"/>
    </row>
    <row r="192" spans="8:19" s="96" customFormat="1" ht="13.8" x14ac:dyDescent="0.3">
      <c r="H192" s="87"/>
      <c r="I192" s="182"/>
      <c r="J192" s="246"/>
      <c r="K192" s="87"/>
      <c r="L192" s="87"/>
      <c r="M192" s="87"/>
      <c r="N192" s="191"/>
      <c r="O192" s="191"/>
      <c r="P192" s="191"/>
      <c r="Q192" s="182"/>
      <c r="R192" s="87"/>
    </row>
    <row r="193" spans="8:18" s="96" customFormat="1" ht="13.8" x14ac:dyDescent="0.3">
      <c r="H193" s="87"/>
      <c r="I193" s="182"/>
      <c r="J193" s="246"/>
      <c r="K193" s="87"/>
      <c r="L193" s="87"/>
      <c r="M193" s="87"/>
      <c r="N193" s="191"/>
      <c r="O193" s="191"/>
      <c r="P193" s="191"/>
      <c r="Q193" s="182"/>
      <c r="R193" s="87"/>
    </row>
    <row r="194" spans="8:18" s="96" customFormat="1" ht="13.8" x14ac:dyDescent="0.3">
      <c r="H194" s="87"/>
      <c r="I194" s="182"/>
      <c r="J194" s="246"/>
      <c r="K194" s="87"/>
      <c r="L194" s="87"/>
      <c r="M194" s="87"/>
      <c r="N194" s="191"/>
      <c r="O194" s="191"/>
      <c r="P194" s="191"/>
      <c r="Q194" s="182"/>
      <c r="R194" s="87"/>
    </row>
    <row r="195" spans="8:18" s="96" customFormat="1" ht="13.8" x14ac:dyDescent="0.3">
      <c r="H195" s="87"/>
      <c r="I195" s="182"/>
      <c r="J195" s="246"/>
      <c r="K195" s="87"/>
      <c r="L195" s="87"/>
      <c r="M195" s="87"/>
      <c r="N195" s="191"/>
      <c r="O195" s="191"/>
      <c r="P195" s="191"/>
      <c r="Q195" s="182"/>
      <c r="R195" s="87"/>
    </row>
    <row r="196" spans="8:18" s="96" customFormat="1" ht="13.8" x14ac:dyDescent="0.3">
      <c r="H196" s="87"/>
      <c r="I196" s="182"/>
      <c r="J196" s="246"/>
      <c r="K196" s="87"/>
      <c r="L196" s="87"/>
      <c r="M196" s="87"/>
      <c r="N196" s="191"/>
      <c r="O196" s="191"/>
      <c r="P196" s="191"/>
      <c r="Q196" s="182"/>
      <c r="R196" s="87"/>
    </row>
    <row r="197" spans="8:18" s="96" customFormat="1" ht="13.8" x14ac:dyDescent="0.3">
      <c r="H197" s="87"/>
      <c r="I197" s="182"/>
      <c r="J197" s="246"/>
      <c r="K197" s="87"/>
      <c r="L197" s="87"/>
      <c r="M197" s="87"/>
      <c r="N197" s="191"/>
      <c r="O197" s="191"/>
      <c r="P197" s="191"/>
      <c r="Q197" s="182"/>
      <c r="R197" s="87"/>
    </row>
    <row r="198" spans="8:18" s="96" customFormat="1" ht="13.8" x14ac:dyDescent="0.3">
      <c r="H198" s="87"/>
      <c r="I198" s="182"/>
      <c r="J198" s="246"/>
      <c r="K198" s="87"/>
      <c r="L198" s="87"/>
      <c r="M198" s="87"/>
      <c r="N198" s="191"/>
      <c r="O198" s="191"/>
      <c r="P198" s="191"/>
      <c r="Q198" s="182"/>
      <c r="R198" s="87"/>
    </row>
    <row r="199" spans="8:18" s="96" customFormat="1" ht="13.8" x14ac:dyDescent="0.3">
      <c r="H199" s="87"/>
      <c r="I199" s="182"/>
      <c r="J199" s="246"/>
      <c r="K199" s="87"/>
      <c r="L199" s="87"/>
      <c r="M199" s="87"/>
      <c r="N199" s="191"/>
      <c r="O199" s="191"/>
      <c r="P199" s="191"/>
      <c r="Q199" s="182"/>
      <c r="R199" s="87"/>
    </row>
    <row r="200" spans="8:18" s="96" customFormat="1" ht="13.8" x14ac:dyDescent="0.3">
      <c r="H200" s="87"/>
      <c r="I200" s="182"/>
      <c r="J200" s="246"/>
      <c r="K200" s="87"/>
      <c r="L200" s="87"/>
      <c r="M200" s="87"/>
      <c r="N200" s="191"/>
      <c r="O200" s="191"/>
      <c r="P200" s="191"/>
      <c r="Q200" s="182"/>
      <c r="R200" s="87"/>
    </row>
    <row r="201" spans="8:18" s="96" customFormat="1" ht="13.8" x14ac:dyDescent="0.3">
      <c r="H201" s="87"/>
      <c r="I201" s="182"/>
      <c r="J201" s="246"/>
      <c r="K201" s="87"/>
      <c r="L201" s="87"/>
      <c r="M201" s="87"/>
      <c r="N201" s="191"/>
      <c r="O201" s="191"/>
      <c r="P201" s="191"/>
      <c r="Q201" s="182"/>
      <c r="R201" s="87"/>
    </row>
    <row r="202" spans="8:18" s="96" customFormat="1" ht="13.8" x14ac:dyDescent="0.3">
      <c r="H202" s="87"/>
      <c r="I202" s="182"/>
      <c r="J202" s="246"/>
      <c r="K202" s="87"/>
      <c r="L202" s="87"/>
      <c r="M202" s="87"/>
      <c r="N202" s="191"/>
      <c r="O202" s="191"/>
      <c r="P202" s="191"/>
      <c r="Q202" s="182"/>
      <c r="R202" s="87"/>
    </row>
    <row r="203" spans="8:18" s="96" customFormat="1" ht="13.8" x14ac:dyDescent="0.3">
      <c r="H203" s="87"/>
      <c r="I203" s="182"/>
      <c r="J203" s="246"/>
      <c r="K203" s="87"/>
      <c r="L203" s="87"/>
      <c r="M203" s="87"/>
      <c r="N203" s="191"/>
      <c r="O203" s="191"/>
      <c r="P203" s="191"/>
      <c r="Q203" s="182"/>
      <c r="R203" s="87"/>
    </row>
    <row r="204" spans="8:18" s="96" customFormat="1" ht="13.8" x14ac:dyDescent="0.3">
      <c r="H204" s="87"/>
      <c r="I204" s="182"/>
      <c r="J204" s="246"/>
      <c r="K204" s="87"/>
      <c r="L204" s="87"/>
      <c r="M204" s="87"/>
      <c r="N204" s="191"/>
      <c r="O204" s="191"/>
      <c r="P204" s="191"/>
      <c r="Q204" s="182"/>
      <c r="R204" s="87"/>
    </row>
    <row r="205" spans="8:18" s="96" customFormat="1" ht="13.8" x14ac:dyDescent="0.3">
      <c r="H205" s="87"/>
      <c r="I205" s="182"/>
      <c r="J205" s="246"/>
      <c r="K205" s="87"/>
      <c r="L205" s="87"/>
      <c r="M205" s="87"/>
      <c r="N205" s="191"/>
      <c r="O205" s="191"/>
      <c r="P205" s="191"/>
      <c r="Q205" s="182"/>
      <c r="R205" s="87"/>
    </row>
    <row r="206" spans="8:18" s="96" customFormat="1" ht="13.8" x14ac:dyDescent="0.3">
      <c r="H206" s="87"/>
      <c r="I206" s="182"/>
      <c r="J206" s="246"/>
      <c r="K206" s="87"/>
      <c r="L206" s="87"/>
      <c r="M206" s="87"/>
      <c r="N206" s="191"/>
      <c r="O206" s="191"/>
      <c r="P206" s="191"/>
      <c r="Q206" s="182"/>
      <c r="R206" s="87"/>
    </row>
    <row r="207" spans="8:18" s="96" customFormat="1" ht="13.8" x14ac:dyDescent="0.3">
      <c r="H207" s="87"/>
      <c r="I207" s="182"/>
      <c r="J207" s="246"/>
      <c r="K207" s="87"/>
      <c r="L207" s="87"/>
      <c r="M207" s="87"/>
      <c r="N207" s="191"/>
      <c r="O207" s="191"/>
      <c r="P207" s="191"/>
      <c r="Q207" s="182"/>
      <c r="R207" s="87"/>
    </row>
    <row r="208" spans="8:18" s="96" customFormat="1" ht="13.8" x14ac:dyDescent="0.3">
      <c r="H208" s="87"/>
      <c r="I208" s="182"/>
      <c r="J208" s="246"/>
      <c r="K208" s="87"/>
      <c r="L208" s="87"/>
      <c r="M208" s="87"/>
      <c r="N208" s="191"/>
      <c r="O208" s="191"/>
      <c r="P208" s="191"/>
      <c r="Q208" s="182"/>
      <c r="R208" s="87"/>
    </row>
    <row r="209" spans="8:18" s="96" customFormat="1" ht="13.8" x14ac:dyDescent="0.3">
      <c r="H209" s="87"/>
      <c r="I209" s="182"/>
      <c r="J209" s="246"/>
      <c r="K209" s="87"/>
      <c r="L209" s="87"/>
      <c r="M209" s="87"/>
      <c r="N209" s="191"/>
      <c r="O209" s="191"/>
      <c r="P209" s="191"/>
      <c r="Q209" s="182"/>
      <c r="R209" s="87"/>
    </row>
    <row r="210" spans="8:18" s="96" customFormat="1" ht="13.8" x14ac:dyDescent="0.3">
      <c r="H210" s="87"/>
      <c r="I210" s="182"/>
      <c r="J210" s="246"/>
      <c r="K210" s="87"/>
      <c r="L210" s="87"/>
      <c r="M210" s="87"/>
      <c r="N210" s="191"/>
      <c r="O210" s="191"/>
      <c r="P210" s="191"/>
      <c r="Q210" s="182"/>
      <c r="R210" s="87"/>
    </row>
    <row r="211" spans="8:18" s="96" customFormat="1" ht="13.8" x14ac:dyDescent="0.3">
      <c r="H211" s="87"/>
      <c r="I211" s="182"/>
      <c r="J211" s="246"/>
      <c r="K211" s="87"/>
      <c r="L211" s="87"/>
      <c r="M211" s="87"/>
      <c r="N211" s="191"/>
      <c r="O211" s="191"/>
      <c r="P211" s="191"/>
      <c r="Q211" s="182"/>
      <c r="R211" s="87"/>
    </row>
    <row r="212" spans="8:18" s="96" customFormat="1" ht="13.8" x14ac:dyDescent="0.3">
      <c r="H212" s="87"/>
      <c r="I212" s="182"/>
      <c r="J212" s="246"/>
      <c r="K212" s="87"/>
      <c r="L212" s="87"/>
      <c r="M212" s="87"/>
      <c r="N212" s="191"/>
      <c r="O212" s="191"/>
      <c r="P212" s="191"/>
      <c r="Q212" s="182"/>
      <c r="R212" s="87"/>
    </row>
    <row r="213" spans="8:18" s="96" customFormat="1" ht="13.8" x14ac:dyDescent="0.3">
      <c r="H213" s="87"/>
      <c r="I213" s="182"/>
      <c r="J213" s="246"/>
      <c r="K213" s="87"/>
      <c r="L213" s="87"/>
      <c r="M213" s="87"/>
      <c r="N213" s="191"/>
      <c r="O213" s="191"/>
      <c r="P213" s="191"/>
      <c r="Q213" s="182"/>
      <c r="R213" s="87"/>
    </row>
    <row r="214" spans="8:18" s="96" customFormat="1" ht="13.8" x14ac:dyDescent="0.3">
      <c r="H214" s="87"/>
      <c r="I214" s="182"/>
      <c r="J214" s="246"/>
      <c r="K214" s="87"/>
      <c r="L214" s="87"/>
      <c r="M214" s="87"/>
      <c r="N214" s="191"/>
      <c r="O214" s="191"/>
      <c r="P214" s="191"/>
      <c r="Q214" s="182"/>
      <c r="R214" s="87"/>
    </row>
    <row r="215" spans="8:18" s="96" customFormat="1" ht="13.8" x14ac:dyDescent="0.3">
      <c r="H215" s="87"/>
      <c r="I215" s="182"/>
      <c r="J215" s="246"/>
      <c r="K215" s="87"/>
      <c r="L215" s="87"/>
      <c r="M215" s="87"/>
      <c r="N215" s="191"/>
      <c r="O215" s="191"/>
      <c r="P215" s="191"/>
      <c r="Q215" s="182"/>
      <c r="R215" s="87"/>
    </row>
    <row r="216" spans="8:18" s="96" customFormat="1" ht="13.8" x14ac:dyDescent="0.3">
      <c r="H216" s="87"/>
      <c r="I216" s="182"/>
      <c r="J216" s="246"/>
      <c r="K216" s="87"/>
      <c r="L216" s="87"/>
      <c r="M216" s="87"/>
      <c r="N216" s="191"/>
      <c r="O216" s="191"/>
      <c r="P216" s="191"/>
      <c r="Q216" s="182"/>
      <c r="R216" s="87"/>
    </row>
    <row r="217" spans="8:18" s="96" customFormat="1" ht="13.8" x14ac:dyDescent="0.3">
      <c r="H217" s="87"/>
      <c r="I217" s="182"/>
      <c r="J217" s="246"/>
      <c r="K217" s="87"/>
      <c r="L217" s="87"/>
      <c r="M217" s="87"/>
      <c r="N217" s="191"/>
      <c r="O217" s="191"/>
      <c r="P217" s="191"/>
      <c r="Q217" s="182"/>
      <c r="R217" s="87"/>
    </row>
    <row r="218" spans="8:18" s="96" customFormat="1" ht="13.8" x14ac:dyDescent="0.3">
      <c r="H218" s="87"/>
      <c r="I218" s="182"/>
      <c r="J218" s="246"/>
      <c r="K218" s="87"/>
      <c r="L218" s="87"/>
      <c r="M218" s="87"/>
      <c r="N218" s="191"/>
      <c r="O218" s="191"/>
      <c r="P218" s="191"/>
      <c r="Q218" s="182"/>
      <c r="R218" s="87"/>
    </row>
    <row r="219" spans="8:18" s="96" customFormat="1" ht="13.8" x14ac:dyDescent="0.3">
      <c r="H219" s="87"/>
      <c r="I219" s="182"/>
      <c r="J219" s="246"/>
      <c r="K219" s="87"/>
      <c r="L219" s="87"/>
      <c r="M219" s="87"/>
      <c r="N219" s="191"/>
      <c r="O219" s="191"/>
      <c r="P219" s="191"/>
      <c r="Q219" s="182"/>
      <c r="R219" s="87"/>
    </row>
    <row r="220" spans="8:18" s="96" customFormat="1" ht="13.8" x14ac:dyDescent="0.3">
      <c r="H220" s="87"/>
      <c r="I220" s="182"/>
      <c r="J220" s="246"/>
      <c r="K220" s="87"/>
      <c r="L220" s="87"/>
      <c r="M220" s="87"/>
      <c r="N220" s="191"/>
      <c r="O220" s="191"/>
      <c r="P220" s="191"/>
      <c r="Q220" s="182"/>
      <c r="R220" s="87"/>
    </row>
    <row r="221" spans="8:18" s="96" customFormat="1" ht="13.8" x14ac:dyDescent="0.3">
      <c r="H221" s="87"/>
      <c r="I221" s="182"/>
      <c r="J221" s="246"/>
      <c r="K221" s="87"/>
      <c r="L221" s="87"/>
      <c r="M221" s="87"/>
      <c r="N221" s="191"/>
      <c r="O221" s="191"/>
      <c r="P221" s="191"/>
      <c r="Q221" s="182"/>
      <c r="R221" s="87"/>
    </row>
    <row r="222" spans="8:18" s="96" customFormat="1" ht="13.8" x14ac:dyDescent="0.3">
      <c r="H222" s="87"/>
      <c r="I222" s="182"/>
      <c r="J222" s="246"/>
      <c r="K222" s="87"/>
      <c r="L222" s="87"/>
      <c r="M222" s="87"/>
      <c r="N222" s="191"/>
      <c r="O222" s="191"/>
      <c r="P222" s="191"/>
      <c r="Q222" s="182"/>
      <c r="R222" s="87"/>
    </row>
    <row r="223" spans="8:18" s="96" customFormat="1" ht="13.8" x14ac:dyDescent="0.3">
      <c r="H223" s="87"/>
      <c r="I223" s="182"/>
      <c r="J223" s="246"/>
      <c r="K223" s="87"/>
      <c r="L223" s="87"/>
      <c r="M223" s="87"/>
      <c r="N223" s="191"/>
      <c r="O223" s="191"/>
      <c r="P223" s="191"/>
      <c r="Q223" s="182"/>
      <c r="R223" s="87"/>
    </row>
    <row r="224" spans="8:18" s="96" customFormat="1" ht="13.8" x14ac:dyDescent="0.3">
      <c r="H224" s="87"/>
      <c r="I224" s="182"/>
      <c r="J224" s="246"/>
      <c r="K224" s="87"/>
      <c r="L224" s="87"/>
      <c r="M224" s="87"/>
      <c r="N224" s="191"/>
      <c r="O224" s="191"/>
      <c r="P224" s="191"/>
      <c r="Q224" s="182"/>
      <c r="R224" s="87"/>
    </row>
    <row r="225" spans="8:18" s="96" customFormat="1" ht="13.8" x14ac:dyDescent="0.3">
      <c r="H225" s="87"/>
      <c r="I225" s="182"/>
      <c r="J225" s="246"/>
      <c r="K225" s="87"/>
      <c r="L225" s="87"/>
      <c r="M225" s="87"/>
      <c r="N225" s="191"/>
      <c r="O225" s="191"/>
      <c r="P225" s="191"/>
      <c r="Q225" s="182"/>
      <c r="R225" s="87"/>
    </row>
    <row r="226" spans="8:18" s="96" customFormat="1" ht="13.8" x14ac:dyDescent="0.3">
      <c r="H226" s="87"/>
      <c r="I226" s="182"/>
      <c r="J226" s="246"/>
      <c r="K226" s="87"/>
      <c r="L226" s="87"/>
      <c r="M226" s="87"/>
      <c r="N226" s="191"/>
      <c r="O226" s="191"/>
      <c r="P226" s="191"/>
      <c r="Q226" s="182"/>
      <c r="R226" s="87"/>
    </row>
    <row r="227" spans="8:18" s="96" customFormat="1" ht="13.8" x14ac:dyDescent="0.3">
      <c r="H227" s="87"/>
      <c r="I227" s="182"/>
      <c r="J227" s="246"/>
      <c r="K227" s="87"/>
      <c r="L227" s="87"/>
      <c r="M227" s="87"/>
      <c r="N227" s="191"/>
      <c r="O227" s="191"/>
      <c r="P227" s="191"/>
      <c r="Q227" s="182"/>
      <c r="R227" s="87"/>
    </row>
    <row r="228" spans="8:18" s="96" customFormat="1" ht="13.8" x14ac:dyDescent="0.3">
      <c r="H228" s="87"/>
      <c r="I228" s="182"/>
      <c r="J228" s="246"/>
      <c r="K228" s="87"/>
      <c r="L228" s="87"/>
      <c r="M228" s="87"/>
      <c r="N228" s="191"/>
      <c r="O228" s="191"/>
      <c r="P228" s="191"/>
      <c r="Q228" s="182"/>
      <c r="R228" s="87"/>
    </row>
    <row r="229" spans="8:18" s="96" customFormat="1" ht="13.8" x14ac:dyDescent="0.3">
      <c r="H229" s="87"/>
      <c r="I229" s="182"/>
      <c r="J229" s="246"/>
      <c r="K229" s="87"/>
      <c r="L229" s="87"/>
      <c r="M229" s="87"/>
      <c r="N229" s="191"/>
      <c r="O229" s="191"/>
      <c r="P229" s="191"/>
      <c r="Q229" s="182"/>
      <c r="R229" s="87"/>
    </row>
    <row r="230" spans="8:18" s="96" customFormat="1" ht="13.8" x14ac:dyDescent="0.3">
      <c r="H230" s="87"/>
      <c r="I230" s="182"/>
      <c r="J230" s="246"/>
      <c r="K230" s="87"/>
      <c r="L230" s="87"/>
      <c r="M230" s="87"/>
      <c r="N230" s="191"/>
      <c r="O230" s="191"/>
      <c r="P230" s="191"/>
      <c r="Q230" s="182"/>
      <c r="R230" s="87"/>
    </row>
    <row r="231" spans="8:18" s="96" customFormat="1" ht="13.8" x14ac:dyDescent="0.3">
      <c r="H231" s="87"/>
      <c r="I231" s="182"/>
      <c r="J231" s="246"/>
      <c r="K231" s="87"/>
      <c r="L231" s="87"/>
      <c r="M231" s="87"/>
      <c r="N231" s="191"/>
      <c r="O231" s="191"/>
      <c r="P231" s="191"/>
      <c r="Q231" s="182"/>
      <c r="R231" s="87"/>
    </row>
    <row r="232" spans="8:18" s="96" customFormat="1" ht="13.8" x14ac:dyDescent="0.3">
      <c r="H232" s="87"/>
      <c r="I232" s="182"/>
      <c r="J232" s="246"/>
      <c r="K232" s="87"/>
      <c r="L232" s="87"/>
      <c r="M232" s="87"/>
      <c r="N232" s="191"/>
      <c r="O232" s="191"/>
      <c r="P232" s="191"/>
      <c r="Q232" s="182"/>
      <c r="R232" s="87"/>
    </row>
    <row r="233" spans="8:18" s="96" customFormat="1" ht="13.8" x14ac:dyDescent="0.3">
      <c r="H233" s="87"/>
      <c r="I233" s="182"/>
      <c r="J233" s="246"/>
      <c r="K233" s="87"/>
      <c r="L233" s="87"/>
      <c r="M233" s="87"/>
      <c r="N233" s="191"/>
      <c r="O233" s="191"/>
      <c r="P233" s="191"/>
      <c r="Q233" s="182"/>
      <c r="R233" s="87"/>
    </row>
    <row r="234" spans="8:18" s="96" customFormat="1" ht="13.8" x14ac:dyDescent="0.3">
      <c r="H234" s="87"/>
      <c r="I234" s="182"/>
      <c r="J234" s="246"/>
      <c r="K234" s="87"/>
      <c r="L234" s="87"/>
      <c r="M234" s="87"/>
      <c r="N234" s="191"/>
      <c r="O234" s="191"/>
      <c r="P234" s="191"/>
      <c r="Q234" s="182"/>
      <c r="R234" s="87"/>
    </row>
    <row r="235" spans="8:18" s="96" customFormat="1" ht="13.8" x14ac:dyDescent="0.3">
      <c r="H235" s="87"/>
      <c r="I235" s="182"/>
      <c r="J235" s="246"/>
      <c r="K235" s="87"/>
      <c r="L235" s="87"/>
      <c r="M235" s="87"/>
      <c r="N235" s="191"/>
      <c r="O235" s="191"/>
      <c r="P235" s="191"/>
      <c r="Q235" s="182"/>
      <c r="R235" s="87"/>
    </row>
    <row r="236" spans="8:18" s="96" customFormat="1" ht="13.8" x14ac:dyDescent="0.3">
      <c r="H236" s="87"/>
      <c r="I236" s="182"/>
      <c r="J236" s="246"/>
      <c r="K236" s="87"/>
      <c r="L236" s="87"/>
      <c r="M236" s="87"/>
      <c r="N236" s="191"/>
      <c r="O236" s="191"/>
      <c r="P236" s="191"/>
      <c r="Q236" s="182"/>
      <c r="R236" s="87"/>
    </row>
    <row r="237" spans="8:18" s="96" customFormat="1" ht="13.8" x14ac:dyDescent="0.3">
      <c r="H237" s="87"/>
      <c r="I237" s="182"/>
      <c r="J237" s="246"/>
      <c r="K237" s="87"/>
      <c r="L237" s="87"/>
      <c r="M237" s="87"/>
      <c r="N237" s="191"/>
      <c r="O237" s="191"/>
      <c r="P237" s="191"/>
      <c r="Q237" s="182"/>
      <c r="R237" s="87"/>
    </row>
    <row r="238" spans="8:18" s="96" customFormat="1" ht="13.8" x14ac:dyDescent="0.3">
      <c r="H238" s="87"/>
      <c r="I238" s="182"/>
      <c r="J238" s="246"/>
      <c r="K238" s="87"/>
      <c r="L238" s="87"/>
      <c r="M238" s="87"/>
      <c r="N238" s="191"/>
      <c r="O238" s="191"/>
      <c r="P238" s="191"/>
      <c r="Q238" s="182"/>
      <c r="R238" s="87"/>
    </row>
    <row r="239" spans="8:18" s="96" customFormat="1" ht="13.8" x14ac:dyDescent="0.3">
      <c r="H239" s="87"/>
      <c r="I239" s="182"/>
      <c r="J239" s="246"/>
      <c r="K239" s="87"/>
      <c r="L239" s="87"/>
      <c r="M239" s="87"/>
      <c r="N239" s="191"/>
      <c r="O239" s="191"/>
      <c r="P239" s="191"/>
      <c r="Q239" s="182"/>
      <c r="R239" s="87"/>
    </row>
    <row r="240" spans="8:18" s="96" customFormat="1" ht="13.8" x14ac:dyDescent="0.3">
      <c r="H240" s="87"/>
      <c r="I240" s="182"/>
      <c r="J240" s="246"/>
      <c r="K240" s="87"/>
      <c r="L240" s="87"/>
      <c r="M240" s="87"/>
      <c r="N240" s="191"/>
      <c r="O240" s="191"/>
      <c r="P240" s="191"/>
      <c r="Q240" s="182"/>
      <c r="R240" s="87"/>
    </row>
    <row r="241" spans="8:18" s="96" customFormat="1" ht="13.8" x14ac:dyDescent="0.3">
      <c r="H241" s="87"/>
      <c r="I241" s="182"/>
      <c r="J241" s="246"/>
      <c r="K241" s="87"/>
      <c r="L241" s="87"/>
      <c r="M241" s="87"/>
      <c r="N241" s="191"/>
      <c r="O241" s="191"/>
      <c r="P241" s="191"/>
      <c r="Q241" s="182"/>
      <c r="R241" s="87"/>
    </row>
    <row r="242" spans="8:18" s="96" customFormat="1" ht="13.8" x14ac:dyDescent="0.3">
      <c r="H242" s="87"/>
      <c r="I242" s="182"/>
      <c r="J242" s="246"/>
      <c r="K242" s="87"/>
      <c r="L242" s="87"/>
      <c r="M242" s="87"/>
      <c r="N242" s="191"/>
      <c r="O242" s="191"/>
      <c r="P242" s="191"/>
      <c r="Q242" s="182"/>
      <c r="R242" s="87"/>
    </row>
    <row r="243" spans="8:18" s="96" customFormat="1" ht="13.8" x14ac:dyDescent="0.3">
      <c r="H243" s="87"/>
      <c r="I243" s="182"/>
      <c r="J243" s="246"/>
      <c r="K243" s="87"/>
      <c r="L243" s="87"/>
      <c r="M243" s="87"/>
      <c r="N243" s="191"/>
      <c r="O243" s="191"/>
      <c r="P243" s="191"/>
      <c r="Q243" s="182"/>
      <c r="R243" s="87"/>
    </row>
    <row r="244" spans="8:18" s="96" customFormat="1" ht="13.8" x14ac:dyDescent="0.3">
      <c r="H244" s="87"/>
      <c r="I244" s="182"/>
      <c r="J244" s="246"/>
      <c r="K244" s="87"/>
      <c r="L244" s="87"/>
      <c r="M244" s="87"/>
      <c r="N244" s="191"/>
      <c r="O244" s="191"/>
      <c r="P244" s="191"/>
      <c r="Q244" s="182"/>
      <c r="R244" s="87"/>
    </row>
    <row r="245" spans="8:18" s="96" customFormat="1" ht="13.8" x14ac:dyDescent="0.3">
      <c r="H245" s="87"/>
      <c r="I245" s="182"/>
      <c r="J245" s="246"/>
      <c r="K245" s="87"/>
      <c r="L245" s="87"/>
      <c r="M245" s="87"/>
      <c r="N245" s="191"/>
      <c r="O245" s="191"/>
      <c r="P245" s="191"/>
      <c r="Q245" s="182"/>
      <c r="R245" s="87"/>
    </row>
    <row r="246" spans="8:18" s="96" customFormat="1" ht="13.8" x14ac:dyDescent="0.3">
      <c r="H246" s="87"/>
      <c r="I246" s="182"/>
      <c r="J246" s="246"/>
      <c r="K246" s="87"/>
      <c r="L246" s="87"/>
      <c r="M246" s="87"/>
      <c r="N246" s="191"/>
      <c r="O246" s="191"/>
      <c r="P246" s="191"/>
      <c r="Q246" s="182"/>
      <c r="R246" s="87"/>
    </row>
    <row r="247" spans="8:18" s="96" customFormat="1" ht="13.8" x14ac:dyDescent="0.3">
      <c r="H247" s="87"/>
      <c r="I247" s="182"/>
      <c r="J247" s="246"/>
      <c r="K247" s="87"/>
      <c r="L247" s="87"/>
      <c r="M247" s="87"/>
      <c r="N247" s="191"/>
      <c r="O247" s="191"/>
      <c r="P247" s="191"/>
      <c r="Q247" s="182"/>
      <c r="R247" s="87"/>
    </row>
    <row r="248" spans="8:18" s="96" customFormat="1" ht="13.8" x14ac:dyDescent="0.3">
      <c r="H248" s="87"/>
      <c r="I248" s="182"/>
      <c r="J248" s="246"/>
      <c r="K248" s="87"/>
      <c r="L248" s="87"/>
      <c r="M248" s="87"/>
      <c r="N248" s="191"/>
      <c r="O248" s="191"/>
      <c r="P248" s="191"/>
      <c r="Q248" s="182"/>
      <c r="R248" s="87"/>
    </row>
    <row r="249" spans="8:18" s="96" customFormat="1" ht="13.8" x14ac:dyDescent="0.3">
      <c r="H249" s="87"/>
      <c r="I249" s="182"/>
      <c r="J249" s="246"/>
      <c r="K249" s="87"/>
      <c r="L249" s="87"/>
      <c r="M249" s="87"/>
      <c r="N249" s="191"/>
      <c r="O249" s="191"/>
      <c r="P249" s="191"/>
      <c r="Q249" s="182"/>
      <c r="R249" s="87"/>
    </row>
    <row r="250" spans="8:18" s="96" customFormat="1" ht="13.8" x14ac:dyDescent="0.3">
      <c r="H250" s="87"/>
      <c r="I250" s="182"/>
      <c r="J250" s="246"/>
      <c r="K250" s="87"/>
      <c r="L250" s="87"/>
      <c r="M250" s="87"/>
      <c r="N250" s="191"/>
      <c r="O250" s="191"/>
      <c r="P250" s="191"/>
      <c r="Q250" s="182"/>
      <c r="R250" s="87"/>
    </row>
    <row r="251" spans="8:18" s="96" customFormat="1" ht="13.8" x14ac:dyDescent="0.3">
      <c r="H251" s="87"/>
      <c r="I251" s="182"/>
      <c r="J251" s="246"/>
      <c r="K251" s="87"/>
      <c r="L251" s="87"/>
      <c r="M251" s="87"/>
      <c r="N251" s="191"/>
      <c r="O251" s="191"/>
      <c r="P251" s="191"/>
      <c r="Q251" s="182"/>
      <c r="R251" s="87"/>
    </row>
    <row r="252" spans="8:18" s="96" customFormat="1" ht="13.8" x14ac:dyDescent="0.3">
      <c r="H252" s="87"/>
      <c r="I252" s="182"/>
      <c r="J252" s="246"/>
      <c r="K252" s="87"/>
      <c r="L252" s="87"/>
      <c r="M252" s="87"/>
      <c r="N252" s="191"/>
      <c r="O252" s="191"/>
      <c r="P252" s="191"/>
      <c r="Q252" s="182"/>
      <c r="R252" s="87"/>
    </row>
    <row r="253" spans="8:18" s="96" customFormat="1" ht="13.8" x14ac:dyDescent="0.3">
      <c r="H253" s="87"/>
      <c r="I253" s="182"/>
      <c r="J253" s="246"/>
      <c r="K253" s="87"/>
      <c r="L253" s="87"/>
      <c r="M253" s="87"/>
      <c r="N253" s="191"/>
      <c r="O253" s="191"/>
      <c r="P253" s="191"/>
      <c r="Q253" s="182"/>
      <c r="R253" s="87"/>
    </row>
    <row r="254" spans="8:18" s="96" customFormat="1" ht="13.8" x14ac:dyDescent="0.3">
      <c r="H254" s="87"/>
      <c r="I254" s="182"/>
      <c r="J254" s="246"/>
      <c r="K254" s="87"/>
      <c r="L254" s="87"/>
      <c r="M254" s="87"/>
      <c r="N254" s="191"/>
      <c r="O254" s="191"/>
      <c r="P254" s="191"/>
      <c r="Q254" s="182"/>
      <c r="R254" s="87"/>
    </row>
    <row r="255" spans="8:18" s="96" customFormat="1" ht="13.8" x14ac:dyDescent="0.3">
      <c r="H255" s="87"/>
      <c r="I255" s="182"/>
      <c r="J255" s="246"/>
      <c r="K255" s="87"/>
      <c r="L255" s="87"/>
      <c r="M255" s="87"/>
      <c r="N255" s="191"/>
      <c r="O255" s="191"/>
      <c r="P255" s="191"/>
      <c r="Q255" s="182"/>
      <c r="R255" s="87"/>
    </row>
    <row r="256" spans="8:18" s="96" customFormat="1" ht="13.8" x14ac:dyDescent="0.3">
      <c r="H256" s="87"/>
      <c r="I256" s="182"/>
      <c r="J256" s="246"/>
      <c r="K256" s="87"/>
      <c r="L256" s="87"/>
      <c r="M256" s="87"/>
      <c r="N256" s="191"/>
      <c r="O256" s="191"/>
      <c r="P256" s="191"/>
      <c r="Q256" s="182"/>
      <c r="R256" s="87"/>
    </row>
    <row r="257" spans="8:18" s="96" customFormat="1" ht="13.8" x14ac:dyDescent="0.3">
      <c r="H257" s="87"/>
      <c r="I257" s="182"/>
      <c r="J257" s="246"/>
      <c r="K257" s="87"/>
      <c r="L257" s="87"/>
      <c r="M257" s="87"/>
      <c r="N257" s="191"/>
      <c r="O257" s="191"/>
      <c r="P257" s="191"/>
      <c r="Q257" s="182"/>
      <c r="R257" s="87"/>
    </row>
    <row r="258" spans="8:18" s="96" customFormat="1" ht="13.8" x14ac:dyDescent="0.3">
      <c r="H258" s="87"/>
      <c r="I258" s="182"/>
      <c r="J258" s="246"/>
      <c r="K258" s="87"/>
      <c r="L258" s="87"/>
      <c r="M258" s="87"/>
      <c r="N258" s="191"/>
      <c r="O258" s="191"/>
      <c r="P258" s="191"/>
      <c r="Q258" s="182"/>
      <c r="R258" s="87"/>
    </row>
    <row r="259" spans="8:18" s="96" customFormat="1" ht="13.8" x14ac:dyDescent="0.3">
      <c r="H259" s="87"/>
      <c r="I259" s="182"/>
      <c r="J259" s="246"/>
      <c r="K259" s="87"/>
      <c r="L259" s="87"/>
      <c r="M259" s="87"/>
      <c r="N259" s="191"/>
      <c r="O259" s="191"/>
      <c r="P259" s="191"/>
      <c r="Q259" s="182"/>
      <c r="R259" s="87"/>
    </row>
    <row r="260" spans="8:18" s="96" customFormat="1" ht="13.8" x14ac:dyDescent="0.3">
      <c r="H260" s="87"/>
      <c r="I260" s="182"/>
      <c r="J260" s="246"/>
      <c r="K260" s="87"/>
      <c r="L260" s="87"/>
      <c r="M260" s="87"/>
      <c r="N260" s="191"/>
      <c r="O260" s="191"/>
      <c r="P260" s="191"/>
      <c r="Q260" s="182"/>
      <c r="R260" s="87"/>
    </row>
    <row r="261" spans="8:18" s="96" customFormat="1" ht="13.8" x14ac:dyDescent="0.3">
      <c r="H261" s="87"/>
      <c r="I261" s="182"/>
      <c r="J261" s="246"/>
      <c r="K261" s="87"/>
      <c r="L261" s="87"/>
      <c r="M261" s="87"/>
      <c r="N261" s="191"/>
      <c r="O261" s="191"/>
      <c r="P261" s="191"/>
      <c r="Q261" s="182"/>
      <c r="R261" s="87"/>
    </row>
    <row r="262" spans="8:18" s="96" customFormat="1" ht="13.8" x14ac:dyDescent="0.3">
      <c r="H262" s="87"/>
      <c r="I262" s="182"/>
      <c r="J262" s="246"/>
      <c r="K262" s="87"/>
      <c r="L262" s="87"/>
      <c r="M262" s="87"/>
      <c r="N262" s="191"/>
      <c r="O262" s="191"/>
      <c r="P262" s="191"/>
      <c r="Q262" s="182"/>
      <c r="R262" s="87"/>
    </row>
    <row r="263" spans="8:18" s="96" customFormat="1" ht="13.8" x14ac:dyDescent="0.3">
      <c r="H263" s="87"/>
      <c r="I263" s="182"/>
      <c r="J263" s="246"/>
      <c r="K263" s="87"/>
      <c r="L263" s="87"/>
      <c r="M263" s="87"/>
      <c r="N263" s="191"/>
      <c r="O263" s="191"/>
      <c r="P263" s="191"/>
      <c r="Q263" s="182"/>
      <c r="R263" s="87"/>
    </row>
    <row r="264" spans="8:18" s="96" customFormat="1" ht="13.8" x14ac:dyDescent="0.3">
      <c r="H264" s="87"/>
      <c r="I264" s="182"/>
      <c r="J264" s="246"/>
      <c r="K264" s="87"/>
      <c r="L264" s="87"/>
      <c r="M264" s="87"/>
      <c r="N264" s="191"/>
      <c r="O264" s="191"/>
      <c r="P264" s="191"/>
      <c r="Q264" s="182"/>
      <c r="R264" s="87"/>
    </row>
    <row r="265" spans="8:18" s="96" customFormat="1" ht="13.8" x14ac:dyDescent="0.3">
      <c r="H265" s="87"/>
      <c r="I265" s="182"/>
      <c r="J265" s="246"/>
      <c r="K265" s="87"/>
      <c r="L265" s="87"/>
      <c r="M265" s="87"/>
      <c r="N265" s="191"/>
      <c r="O265" s="191"/>
      <c r="P265" s="191"/>
      <c r="Q265" s="182"/>
      <c r="R265" s="87"/>
    </row>
    <row r="266" spans="8:18" s="96" customFormat="1" ht="13.8" x14ac:dyDescent="0.3">
      <c r="H266" s="87"/>
      <c r="I266" s="182"/>
      <c r="J266" s="246"/>
      <c r="K266" s="87"/>
      <c r="L266" s="87"/>
      <c r="M266" s="87"/>
      <c r="N266" s="191"/>
      <c r="O266" s="191"/>
      <c r="P266" s="191"/>
      <c r="Q266" s="182"/>
      <c r="R266" s="87"/>
    </row>
    <row r="267" spans="8:18" s="96" customFormat="1" ht="13.8" x14ac:dyDescent="0.3">
      <c r="H267" s="87"/>
      <c r="I267" s="182"/>
      <c r="J267" s="246"/>
      <c r="K267" s="87"/>
      <c r="L267" s="87"/>
      <c r="M267" s="87"/>
      <c r="N267" s="191"/>
      <c r="O267" s="191"/>
      <c r="P267" s="191"/>
      <c r="Q267" s="182"/>
      <c r="R267" s="87"/>
    </row>
    <row r="268" spans="8:18" s="96" customFormat="1" ht="13.8" x14ac:dyDescent="0.3">
      <c r="H268" s="87"/>
      <c r="I268" s="182"/>
      <c r="J268" s="246"/>
      <c r="K268" s="87"/>
      <c r="L268" s="87"/>
      <c r="M268" s="87"/>
      <c r="N268" s="191"/>
      <c r="O268" s="191"/>
      <c r="P268" s="191"/>
      <c r="Q268" s="182"/>
      <c r="R268" s="87"/>
    </row>
    <row r="269" spans="8:18" s="96" customFormat="1" ht="13.8" x14ac:dyDescent="0.3">
      <c r="H269" s="87"/>
      <c r="I269" s="182"/>
      <c r="J269" s="246"/>
      <c r="K269" s="87"/>
      <c r="L269" s="87"/>
      <c r="M269" s="87"/>
      <c r="N269" s="191"/>
      <c r="O269" s="191"/>
      <c r="P269" s="191"/>
      <c r="Q269" s="182"/>
      <c r="R269" s="87"/>
    </row>
    <row r="270" spans="8:18" s="96" customFormat="1" ht="13.8" x14ac:dyDescent="0.3">
      <c r="H270" s="87"/>
      <c r="I270" s="182"/>
      <c r="J270" s="246"/>
      <c r="K270" s="87"/>
      <c r="L270" s="87"/>
      <c r="M270" s="87"/>
      <c r="N270" s="191"/>
      <c r="O270" s="191"/>
      <c r="P270" s="191"/>
      <c r="Q270" s="182"/>
      <c r="R270" s="87"/>
    </row>
    <row r="271" spans="8:18" s="96" customFormat="1" ht="13.8" x14ac:dyDescent="0.3">
      <c r="H271" s="87"/>
      <c r="I271" s="182"/>
      <c r="J271" s="246"/>
      <c r="K271" s="87"/>
      <c r="L271" s="87"/>
      <c r="M271" s="87"/>
      <c r="N271" s="191"/>
      <c r="O271" s="191"/>
      <c r="P271" s="191"/>
      <c r="Q271" s="182"/>
      <c r="R271" s="87"/>
    </row>
    <row r="272" spans="8:18" s="96" customFormat="1" ht="13.8" x14ac:dyDescent="0.3">
      <c r="H272" s="87"/>
      <c r="I272" s="182"/>
      <c r="J272" s="246"/>
      <c r="K272" s="87"/>
      <c r="L272" s="87"/>
      <c r="M272" s="87"/>
      <c r="N272" s="191"/>
      <c r="O272" s="191"/>
      <c r="P272" s="191"/>
      <c r="Q272" s="182"/>
      <c r="R272" s="87"/>
    </row>
    <row r="273" spans="8:18" s="96" customFormat="1" ht="13.8" x14ac:dyDescent="0.3">
      <c r="H273" s="87"/>
      <c r="I273" s="182"/>
      <c r="J273" s="246"/>
      <c r="K273" s="87"/>
      <c r="L273" s="87"/>
      <c r="M273" s="87"/>
      <c r="N273" s="191"/>
      <c r="O273" s="191"/>
      <c r="P273" s="191"/>
      <c r="Q273" s="182"/>
      <c r="R273" s="87"/>
    </row>
    <row r="274" spans="8:18" s="96" customFormat="1" ht="13.8" x14ac:dyDescent="0.3">
      <c r="H274" s="87"/>
      <c r="I274" s="182"/>
      <c r="J274" s="246"/>
      <c r="K274" s="87"/>
      <c r="L274" s="87"/>
      <c r="M274" s="87"/>
      <c r="N274" s="191"/>
      <c r="O274" s="191"/>
      <c r="P274" s="191"/>
      <c r="Q274" s="182"/>
      <c r="R274" s="87"/>
    </row>
    <row r="275" spans="8:18" s="96" customFormat="1" ht="13.8" x14ac:dyDescent="0.3">
      <c r="H275" s="87"/>
      <c r="I275" s="182"/>
      <c r="J275" s="246"/>
      <c r="K275" s="87"/>
      <c r="L275" s="87"/>
      <c r="M275" s="87"/>
      <c r="N275" s="191"/>
      <c r="O275" s="191"/>
      <c r="P275" s="191"/>
      <c r="Q275" s="182"/>
      <c r="R275" s="87"/>
    </row>
    <row r="276" spans="8:18" s="96" customFormat="1" ht="13.8" x14ac:dyDescent="0.3">
      <c r="H276" s="87"/>
      <c r="I276" s="182"/>
      <c r="J276" s="246"/>
      <c r="K276" s="87"/>
      <c r="L276" s="87"/>
      <c r="M276" s="87"/>
      <c r="N276" s="191"/>
      <c r="O276" s="191"/>
      <c r="P276" s="191"/>
      <c r="Q276" s="182"/>
      <c r="R276" s="87"/>
    </row>
    <row r="277" spans="8:18" s="96" customFormat="1" ht="13.8" x14ac:dyDescent="0.3">
      <c r="H277" s="87"/>
      <c r="I277" s="182"/>
      <c r="J277" s="246"/>
      <c r="K277" s="87"/>
      <c r="L277" s="87"/>
      <c r="M277" s="87"/>
      <c r="N277" s="191"/>
      <c r="O277" s="191"/>
      <c r="P277" s="191"/>
      <c r="Q277" s="182"/>
      <c r="R277" s="87"/>
    </row>
    <row r="278" spans="8:18" s="96" customFormat="1" ht="13.8" x14ac:dyDescent="0.3">
      <c r="H278" s="87"/>
      <c r="I278" s="182"/>
      <c r="J278" s="246"/>
      <c r="K278" s="87"/>
      <c r="L278" s="87"/>
      <c r="M278" s="87"/>
      <c r="N278" s="191"/>
      <c r="O278" s="191"/>
      <c r="P278" s="191"/>
      <c r="Q278" s="182"/>
      <c r="R278" s="87"/>
    </row>
    <row r="279" spans="8:18" s="96" customFormat="1" ht="13.8" x14ac:dyDescent="0.3">
      <c r="H279" s="87"/>
      <c r="I279" s="182"/>
      <c r="J279" s="246"/>
      <c r="K279" s="87"/>
      <c r="L279" s="87"/>
      <c r="M279" s="87"/>
      <c r="N279" s="191"/>
      <c r="O279" s="191"/>
      <c r="P279" s="191"/>
      <c r="Q279" s="182"/>
      <c r="R279" s="87"/>
    </row>
    <row r="280" spans="8:18" s="96" customFormat="1" ht="13.8" x14ac:dyDescent="0.3">
      <c r="H280" s="87"/>
      <c r="I280" s="182"/>
      <c r="J280" s="246"/>
      <c r="K280" s="87"/>
      <c r="L280" s="87"/>
      <c r="M280" s="87"/>
      <c r="N280" s="191"/>
      <c r="O280" s="191"/>
      <c r="P280" s="191"/>
      <c r="Q280" s="182"/>
      <c r="R280" s="87"/>
    </row>
    <row r="281" spans="8:18" s="96" customFormat="1" ht="13.8" x14ac:dyDescent="0.3">
      <c r="H281" s="87"/>
      <c r="I281" s="182"/>
      <c r="J281" s="246"/>
      <c r="K281" s="87"/>
      <c r="L281" s="87"/>
      <c r="M281" s="87"/>
      <c r="N281" s="191"/>
      <c r="O281" s="191"/>
      <c r="P281" s="191"/>
      <c r="Q281" s="182"/>
      <c r="R281" s="87"/>
    </row>
    <row r="282" spans="8:18" s="96" customFormat="1" ht="13.8" x14ac:dyDescent="0.3">
      <c r="H282" s="87"/>
      <c r="I282" s="182"/>
      <c r="J282" s="246"/>
      <c r="K282" s="87"/>
      <c r="L282" s="87"/>
      <c r="M282" s="87"/>
      <c r="N282" s="191"/>
      <c r="O282" s="191"/>
      <c r="P282" s="191"/>
      <c r="Q282" s="182"/>
      <c r="R282" s="87"/>
    </row>
    <row r="283" spans="8:18" s="96" customFormat="1" ht="13.8" x14ac:dyDescent="0.3">
      <c r="H283" s="87"/>
      <c r="I283" s="182"/>
      <c r="J283" s="246"/>
      <c r="K283" s="87"/>
      <c r="L283" s="87"/>
      <c r="M283" s="87"/>
      <c r="N283" s="191"/>
      <c r="O283" s="191"/>
      <c r="P283" s="191"/>
      <c r="Q283" s="182"/>
      <c r="R283" s="87"/>
    </row>
    <row r="284" spans="8:18" s="96" customFormat="1" ht="13.8" x14ac:dyDescent="0.3">
      <c r="H284" s="87"/>
      <c r="I284" s="182"/>
      <c r="J284" s="246"/>
      <c r="K284" s="87"/>
      <c r="L284" s="87"/>
      <c r="M284" s="87"/>
      <c r="N284" s="191"/>
      <c r="O284" s="191"/>
      <c r="P284" s="191"/>
      <c r="Q284" s="182"/>
      <c r="R284" s="87"/>
    </row>
    <row r="285" spans="8:18" s="96" customFormat="1" ht="13.8" x14ac:dyDescent="0.3">
      <c r="H285" s="87"/>
      <c r="I285" s="182"/>
      <c r="J285" s="246"/>
      <c r="K285" s="87"/>
      <c r="L285" s="87"/>
      <c r="M285" s="87"/>
      <c r="N285" s="191"/>
      <c r="O285" s="191"/>
      <c r="P285" s="191"/>
      <c r="Q285" s="182"/>
      <c r="R285" s="87"/>
    </row>
    <row r="286" spans="8:18" s="96" customFormat="1" ht="13.8" x14ac:dyDescent="0.3">
      <c r="H286" s="87"/>
      <c r="I286" s="182"/>
      <c r="J286" s="246"/>
      <c r="K286" s="87"/>
      <c r="L286" s="87"/>
      <c r="M286" s="87"/>
      <c r="N286" s="191"/>
      <c r="O286" s="191"/>
      <c r="P286" s="191"/>
      <c r="Q286" s="182"/>
      <c r="R286" s="87"/>
    </row>
    <row r="287" spans="8:18" s="96" customFormat="1" ht="13.8" x14ac:dyDescent="0.3">
      <c r="H287" s="87"/>
      <c r="I287" s="182"/>
      <c r="J287" s="246"/>
      <c r="K287" s="87"/>
      <c r="L287" s="87"/>
      <c r="M287" s="87"/>
      <c r="N287" s="191"/>
      <c r="O287" s="191"/>
      <c r="P287" s="191"/>
      <c r="Q287" s="182"/>
      <c r="R287" s="87"/>
    </row>
    <row r="288" spans="8:18" s="96" customFormat="1" ht="13.8" x14ac:dyDescent="0.3">
      <c r="H288" s="87"/>
      <c r="I288" s="182"/>
      <c r="J288" s="246"/>
      <c r="K288" s="87"/>
      <c r="L288" s="87"/>
      <c r="M288" s="87"/>
      <c r="N288" s="191"/>
      <c r="O288" s="191"/>
      <c r="P288" s="191"/>
      <c r="Q288" s="182"/>
      <c r="R288" s="87"/>
    </row>
    <row r="289" spans="8:18" s="96" customFormat="1" ht="13.8" x14ac:dyDescent="0.3">
      <c r="H289" s="87"/>
      <c r="I289" s="182"/>
      <c r="J289" s="246"/>
      <c r="K289" s="87"/>
      <c r="L289" s="87"/>
      <c r="M289" s="87"/>
      <c r="N289" s="191"/>
      <c r="O289" s="191"/>
      <c r="P289" s="191"/>
      <c r="Q289" s="182"/>
      <c r="R289" s="87"/>
    </row>
    <row r="290" spans="8:18" s="96" customFormat="1" ht="13.8" x14ac:dyDescent="0.3">
      <c r="H290" s="87"/>
      <c r="I290" s="182"/>
      <c r="J290" s="246"/>
      <c r="K290" s="87"/>
      <c r="L290" s="87"/>
      <c r="M290" s="87"/>
      <c r="N290" s="191"/>
      <c r="O290" s="191"/>
      <c r="P290" s="191"/>
      <c r="Q290" s="182"/>
      <c r="R290" s="87"/>
    </row>
    <row r="291" spans="8:18" s="96" customFormat="1" ht="13.8" x14ac:dyDescent="0.3">
      <c r="H291" s="87"/>
      <c r="I291" s="182"/>
      <c r="J291" s="246"/>
      <c r="K291" s="87"/>
      <c r="L291" s="87"/>
      <c r="M291" s="87"/>
      <c r="N291" s="191"/>
      <c r="O291" s="191"/>
      <c r="P291" s="191"/>
      <c r="Q291" s="182"/>
      <c r="R291" s="87"/>
    </row>
    <row r="292" spans="8:18" s="96" customFormat="1" ht="13.8" x14ac:dyDescent="0.3">
      <c r="H292" s="87"/>
      <c r="I292" s="182"/>
      <c r="J292" s="246"/>
      <c r="K292" s="87"/>
      <c r="L292" s="87"/>
      <c r="M292" s="87"/>
      <c r="N292" s="191"/>
      <c r="O292" s="191"/>
      <c r="P292" s="191"/>
      <c r="Q292" s="182"/>
      <c r="R292" s="87"/>
    </row>
    <row r="293" spans="8:18" s="96" customFormat="1" ht="13.8" x14ac:dyDescent="0.3">
      <c r="H293" s="87"/>
      <c r="I293" s="182"/>
      <c r="J293" s="246"/>
      <c r="K293" s="87"/>
      <c r="L293" s="87"/>
      <c r="M293" s="87"/>
      <c r="N293" s="191"/>
      <c r="O293" s="191"/>
      <c r="P293" s="191"/>
      <c r="Q293" s="182"/>
      <c r="R293" s="87"/>
    </row>
    <row r="294" spans="8:18" s="96" customFormat="1" ht="13.8" x14ac:dyDescent="0.3">
      <c r="H294" s="87"/>
      <c r="I294" s="182"/>
      <c r="J294" s="246"/>
      <c r="K294" s="87"/>
      <c r="L294" s="87"/>
      <c r="M294" s="87"/>
      <c r="N294" s="191"/>
      <c r="O294" s="191"/>
      <c r="P294" s="191"/>
      <c r="Q294" s="182"/>
      <c r="R294" s="87"/>
    </row>
    <row r="295" spans="8:18" s="96" customFormat="1" ht="13.8" x14ac:dyDescent="0.3">
      <c r="H295" s="87"/>
      <c r="I295" s="182"/>
      <c r="J295" s="246"/>
      <c r="K295" s="87"/>
      <c r="L295" s="87"/>
      <c r="M295" s="87"/>
      <c r="N295" s="191"/>
      <c r="O295" s="191"/>
      <c r="P295" s="191"/>
      <c r="Q295" s="182"/>
      <c r="R295" s="87"/>
    </row>
    <row r="296" spans="8:18" s="96" customFormat="1" ht="13.8" x14ac:dyDescent="0.3">
      <c r="H296" s="87"/>
      <c r="I296" s="182"/>
      <c r="J296" s="246"/>
      <c r="K296" s="87"/>
      <c r="L296" s="87"/>
      <c r="M296" s="87"/>
      <c r="N296" s="191"/>
      <c r="O296" s="191"/>
      <c r="P296" s="191"/>
      <c r="Q296" s="182"/>
      <c r="R296" s="87"/>
    </row>
    <row r="297" spans="8:18" s="96" customFormat="1" ht="13.8" x14ac:dyDescent="0.3">
      <c r="H297" s="87"/>
      <c r="I297" s="182"/>
      <c r="J297" s="246"/>
      <c r="K297" s="87"/>
      <c r="L297" s="87"/>
      <c r="M297" s="87"/>
      <c r="N297" s="191"/>
      <c r="O297" s="191"/>
      <c r="P297" s="191"/>
      <c r="Q297" s="182"/>
      <c r="R297" s="87"/>
    </row>
    <row r="298" spans="8:18" s="96" customFormat="1" ht="13.8" x14ac:dyDescent="0.3">
      <c r="H298" s="87"/>
      <c r="I298" s="182"/>
      <c r="J298" s="246"/>
      <c r="K298" s="87"/>
      <c r="L298" s="87"/>
      <c r="M298" s="87"/>
      <c r="N298" s="191"/>
      <c r="O298" s="191"/>
      <c r="P298" s="191"/>
      <c r="Q298" s="182"/>
      <c r="R298" s="87"/>
    </row>
    <row r="299" spans="8:18" s="96" customFormat="1" ht="13.8" x14ac:dyDescent="0.3">
      <c r="H299" s="87"/>
      <c r="I299" s="182"/>
      <c r="J299" s="246"/>
      <c r="K299" s="87"/>
      <c r="L299" s="87"/>
      <c r="M299" s="87"/>
      <c r="N299" s="191"/>
      <c r="O299" s="191"/>
      <c r="P299" s="191"/>
      <c r="Q299" s="182"/>
      <c r="R299" s="87"/>
    </row>
    <row r="300" spans="8:18" s="96" customFormat="1" ht="13.8" x14ac:dyDescent="0.3">
      <c r="H300" s="87"/>
      <c r="I300" s="182"/>
      <c r="J300" s="246"/>
      <c r="K300" s="87"/>
      <c r="L300" s="87"/>
      <c r="M300" s="87"/>
      <c r="N300" s="191"/>
      <c r="O300" s="191"/>
      <c r="P300" s="191"/>
      <c r="Q300" s="182"/>
      <c r="R300" s="87"/>
    </row>
    <row r="301" spans="8:18" s="96" customFormat="1" ht="13.8" x14ac:dyDescent="0.3">
      <c r="H301" s="87"/>
      <c r="I301" s="182"/>
      <c r="J301" s="246"/>
      <c r="K301" s="87"/>
      <c r="L301" s="87"/>
      <c r="M301" s="87"/>
      <c r="N301" s="191"/>
      <c r="O301" s="191"/>
      <c r="P301" s="191"/>
      <c r="Q301" s="182"/>
      <c r="R301" s="87"/>
    </row>
    <row r="302" spans="8:18" s="96" customFormat="1" ht="13.8" x14ac:dyDescent="0.3">
      <c r="H302" s="87"/>
      <c r="I302" s="182"/>
      <c r="J302" s="246"/>
      <c r="K302" s="87"/>
      <c r="L302" s="87"/>
      <c r="M302" s="87"/>
      <c r="N302" s="191"/>
      <c r="O302" s="191"/>
      <c r="P302" s="191"/>
      <c r="Q302" s="182"/>
      <c r="R302" s="87"/>
    </row>
    <row r="303" spans="8:18" s="96" customFormat="1" ht="13.8" x14ac:dyDescent="0.3">
      <c r="H303" s="87"/>
      <c r="I303" s="182"/>
      <c r="J303" s="246"/>
      <c r="K303" s="87"/>
      <c r="L303" s="87"/>
      <c r="M303" s="87"/>
      <c r="N303" s="191"/>
      <c r="O303" s="191"/>
      <c r="P303" s="191"/>
      <c r="Q303" s="182"/>
      <c r="R303" s="87"/>
    </row>
    <row r="304" spans="8:18" s="96" customFormat="1" ht="13.8" x14ac:dyDescent="0.3">
      <c r="H304" s="87"/>
      <c r="I304" s="182"/>
      <c r="J304" s="246"/>
      <c r="K304" s="87"/>
      <c r="L304" s="87"/>
      <c r="M304" s="87"/>
      <c r="N304" s="191"/>
      <c r="O304" s="191"/>
      <c r="P304" s="191"/>
      <c r="Q304" s="182"/>
      <c r="R304" s="87"/>
    </row>
    <row r="305" spans="8:18" s="96" customFormat="1" ht="13.8" x14ac:dyDescent="0.3">
      <c r="H305" s="87"/>
      <c r="I305" s="182"/>
      <c r="J305" s="246"/>
      <c r="K305" s="87"/>
      <c r="L305" s="87"/>
      <c r="M305" s="87"/>
      <c r="N305" s="191"/>
      <c r="O305" s="191"/>
      <c r="P305" s="191"/>
      <c r="Q305" s="182"/>
      <c r="R305" s="87"/>
    </row>
    <row r="306" spans="8:18" s="96" customFormat="1" ht="13.8" x14ac:dyDescent="0.3">
      <c r="H306" s="87"/>
      <c r="I306" s="182"/>
      <c r="J306" s="246"/>
      <c r="K306" s="87"/>
      <c r="L306" s="87"/>
      <c r="M306" s="87"/>
      <c r="N306" s="191"/>
      <c r="O306" s="191"/>
      <c r="P306" s="191"/>
      <c r="Q306" s="182"/>
      <c r="R306" s="87"/>
    </row>
    <row r="307" spans="8:18" s="96" customFormat="1" ht="13.8" x14ac:dyDescent="0.3">
      <c r="H307" s="87"/>
      <c r="I307" s="182"/>
      <c r="J307" s="246"/>
      <c r="K307" s="87"/>
      <c r="L307" s="87"/>
      <c r="M307" s="87"/>
      <c r="N307" s="191"/>
      <c r="O307" s="191"/>
      <c r="P307" s="191"/>
      <c r="Q307" s="182"/>
      <c r="R307" s="87"/>
    </row>
    <row r="308" spans="8:18" s="96" customFormat="1" ht="13.8" x14ac:dyDescent="0.3">
      <c r="H308" s="87"/>
      <c r="I308" s="182"/>
      <c r="J308" s="246"/>
      <c r="K308" s="87"/>
      <c r="L308" s="87"/>
      <c r="M308" s="87"/>
      <c r="N308" s="191"/>
      <c r="O308" s="191"/>
      <c r="P308" s="191"/>
      <c r="Q308" s="182"/>
      <c r="R308" s="87"/>
    </row>
    <row r="309" spans="8:18" s="96" customFormat="1" ht="13.8" x14ac:dyDescent="0.3">
      <c r="H309" s="87"/>
      <c r="I309" s="182"/>
      <c r="J309" s="246"/>
      <c r="K309" s="87"/>
      <c r="L309" s="87"/>
      <c r="M309" s="87"/>
      <c r="N309" s="191"/>
      <c r="O309" s="191"/>
      <c r="P309" s="191"/>
      <c r="Q309" s="182"/>
      <c r="R309" s="87"/>
    </row>
    <row r="310" spans="8:18" s="96" customFormat="1" ht="13.8" x14ac:dyDescent="0.3">
      <c r="H310" s="87"/>
      <c r="I310" s="182"/>
      <c r="J310" s="246"/>
      <c r="K310" s="87"/>
      <c r="L310" s="87"/>
      <c r="M310" s="87"/>
      <c r="N310" s="191"/>
      <c r="O310" s="191"/>
      <c r="P310" s="191"/>
      <c r="Q310" s="182"/>
      <c r="R310" s="87"/>
    </row>
    <row r="311" spans="8:18" s="96" customFormat="1" ht="13.8" x14ac:dyDescent="0.3">
      <c r="H311" s="87"/>
      <c r="I311" s="182"/>
      <c r="J311" s="246"/>
      <c r="K311" s="87"/>
      <c r="L311" s="87"/>
      <c r="M311" s="87"/>
      <c r="N311" s="191"/>
      <c r="O311" s="191"/>
      <c r="P311" s="191"/>
      <c r="Q311" s="182"/>
      <c r="R311" s="87"/>
    </row>
    <row r="312" spans="8:18" s="96" customFormat="1" ht="13.8" x14ac:dyDescent="0.3">
      <c r="H312" s="87"/>
      <c r="I312" s="182"/>
      <c r="J312" s="246"/>
      <c r="K312" s="87"/>
      <c r="L312" s="87"/>
      <c r="M312" s="87"/>
      <c r="N312" s="191"/>
      <c r="O312" s="191"/>
      <c r="P312" s="191"/>
      <c r="Q312" s="182"/>
      <c r="R312" s="87"/>
    </row>
    <row r="313" spans="8:18" s="96" customFormat="1" ht="13.8" x14ac:dyDescent="0.3">
      <c r="H313" s="87"/>
      <c r="I313" s="182"/>
      <c r="J313" s="246"/>
      <c r="K313" s="87"/>
      <c r="L313" s="87"/>
      <c r="M313" s="87"/>
      <c r="N313" s="191"/>
      <c r="O313" s="191"/>
      <c r="P313" s="191"/>
      <c r="Q313" s="182"/>
      <c r="R313" s="87"/>
    </row>
    <row r="314" spans="8:18" s="96" customFormat="1" ht="13.8" x14ac:dyDescent="0.3">
      <c r="H314" s="87"/>
      <c r="I314" s="182"/>
      <c r="J314" s="246"/>
      <c r="K314" s="87"/>
      <c r="L314" s="87"/>
      <c r="M314" s="87"/>
      <c r="N314" s="191"/>
      <c r="O314" s="191"/>
      <c r="P314" s="191"/>
      <c r="Q314" s="182"/>
      <c r="R314" s="87"/>
    </row>
    <row r="315" spans="8:18" s="96" customFormat="1" ht="13.8" x14ac:dyDescent="0.3">
      <c r="H315" s="87"/>
      <c r="I315" s="182"/>
      <c r="J315" s="246"/>
      <c r="K315" s="87"/>
      <c r="L315" s="87"/>
      <c r="M315" s="87"/>
      <c r="N315" s="191"/>
      <c r="O315" s="191"/>
      <c r="P315" s="191"/>
      <c r="Q315" s="182"/>
      <c r="R315" s="87"/>
    </row>
    <row r="316" spans="8:18" s="96" customFormat="1" ht="13.8" x14ac:dyDescent="0.3">
      <c r="H316" s="87"/>
      <c r="I316" s="182"/>
      <c r="J316" s="246"/>
      <c r="K316" s="87"/>
      <c r="L316" s="87"/>
      <c r="M316" s="87"/>
      <c r="N316" s="191"/>
      <c r="O316" s="191"/>
      <c r="P316" s="191"/>
      <c r="Q316" s="182"/>
      <c r="R316" s="87"/>
    </row>
    <row r="317" spans="8:18" s="96" customFormat="1" ht="13.8" x14ac:dyDescent="0.3">
      <c r="H317" s="87"/>
      <c r="I317" s="182"/>
      <c r="J317" s="246"/>
      <c r="K317" s="87"/>
      <c r="L317" s="87"/>
      <c r="M317" s="87"/>
      <c r="N317" s="191"/>
      <c r="O317" s="191"/>
      <c r="P317" s="191"/>
      <c r="Q317" s="182"/>
      <c r="R317" s="87"/>
    </row>
    <row r="318" spans="8:18" s="96" customFormat="1" ht="13.8" x14ac:dyDescent="0.3">
      <c r="H318" s="87"/>
      <c r="I318" s="182"/>
      <c r="J318" s="246"/>
      <c r="K318" s="87"/>
      <c r="L318" s="87"/>
      <c r="M318" s="87"/>
      <c r="N318" s="191"/>
      <c r="O318" s="191"/>
      <c r="P318" s="191"/>
      <c r="Q318" s="182"/>
      <c r="R318" s="87"/>
    </row>
    <row r="319" spans="8:18" s="96" customFormat="1" ht="13.8" x14ac:dyDescent="0.3">
      <c r="H319" s="87"/>
      <c r="I319" s="182"/>
      <c r="J319" s="246"/>
      <c r="K319" s="87"/>
      <c r="L319" s="87"/>
      <c r="M319" s="87"/>
      <c r="N319" s="191"/>
      <c r="O319" s="191"/>
      <c r="P319" s="191"/>
      <c r="Q319" s="182"/>
      <c r="R319" s="87"/>
    </row>
    <row r="320" spans="8:18" s="96" customFormat="1" ht="13.8" x14ac:dyDescent="0.3">
      <c r="H320" s="87"/>
      <c r="I320" s="182"/>
      <c r="J320" s="246"/>
      <c r="K320" s="87"/>
      <c r="L320" s="87"/>
      <c r="M320" s="87"/>
      <c r="N320" s="191"/>
      <c r="O320" s="191"/>
      <c r="P320" s="191"/>
      <c r="Q320" s="182"/>
      <c r="R320" s="87"/>
    </row>
    <row r="321" spans="8:18" s="96" customFormat="1" ht="13.8" x14ac:dyDescent="0.3">
      <c r="H321" s="87"/>
      <c r="I321" s="182"/>
      <c r="J321" s="246"/>
      <c r="K321" s="87"/>
      <c r="L321" s="87"/>
      <c r="M321" s="87"/>
      <c r="N321" s="191"/>
      <c r="O321" s="191"/>
      <c r="P321" s="191"/>
      <c r="Q321" s="182"/>
      <c r="R321" s="87"/>
    </row>
    <row r="322" spans="8:18" s="96" customFormat="1" ht="13.8" x14ac:dyDescent="0.3">
      <c r="H322" s="87"/>
      <c r="I322" s="182"/>
      <c r="J322" s="246"/>
      <c r="K322" s="87"/>
      <c r="L322" s="87"/>
      <c r="M322" s="87"/>
      <c r="N322" s="191"/>
      <c r="O322" s="191"/>
      <c r="P322" s="191"/>
      <c r="Q322" s="182"/>
      <c r="R322" s="87"/>
    </row>
    <row r="323" spans="8:18" s="96" customFormat="1" ht="13.8" x14ac:dyDescent="0.3">
      <c r="H323" s="87"/>
      <c r="I323" s="182"/>
      <c r="J323" s="246"/>
      <c r="K323" s="87"/>
      <c r="L323" s="87"/>
      <c r="M323" s="87"/>
      <c r="N323" s="191"/>
      <c r="O323" s="191"/>
      <c r="P323" s="191"/>
      <c r="Q323" s="182"/>
      <c r="R323" s="87"/>
    </row>
    <row r="324" spans="8:18" s="96" customFormat="1" ht="13.8" x14ac:dyDescent="0.3">
      <c r="H324" s="87"/>
      <c r="I324" s="182"/>
      <c r="J324" s="246"/>
      <c r="K324" s="87"/>
      <c r="L324" s="87"/>
      <c r="M324" s="87"/>
      <c r="N324" s="191"/>
      <c r="O324" s="191"/>
      <c r="P324" s="191"/>
      <c r="Q324" s="182"/>
      <c r="R324" s="87"/>
    </row>
    <row r="325" spans="8:18" s="96" customFormat="1" ht="13.8" x14ac:dyDescent="0.3">
      <c r="H325" s="87"/>
      <c r="I325" s="182"/>
      <c r="J325" s="246"/>
      <c r="K325" s="87"/>
      <c r="L325" s="87"/>
      <c r="M325" s="87"/>
      <c r="N325" s="191"/>
      <c r="O325" s="191"/>
      <c r="P325" s="191"/>
      <c r="Q325" s="182"/>
      <c r="R325" s="87"/>
    </row>
    <row r="326" spans="8:18" s="96" customFormat="1" ht="13.8" x14ac:dyDescent="0.3">
      <c r="H326" s="87"/>
      <c r="I326" s="182"/>
      <c r="J326" s="246"/>
      <c r="K326" s="87"/>
      <c r="L326" s="87"/>
      <c r="M326" s="87"/>
      <c r="N326" s="191"/>
      <c r="O326" s="191"/>
      <c r="P326" s="191"/>
      <c r="Q326" s="182"/>
      <c r="R326" s="87"/>
    </row>
    <row r="327" spans="8:18" s="96" customFormat="1" ht="13.8" x14ac:dyDescent="0.3">
      <c r="H327" s="87"/>
      <c r="I327" s="182"/>
      <c r="J327" s="246"/>
      <c r="K327" s="87"/>
      <c r="L327" s="87"/>
      <c r="M327" s="87"/>
      <c r="N327" s="191"/>
      <c r="O327" s="191"/>
      <c r="P327" s="191"/>
      <c r="Q327" s="182"/>
      <c r="R327" s="87"/>
    </row>
    <row r="328" spans="8:18" s="96" customFormat="1" ht="13.8" x14ac:dyDescent="0.3">
      <c r="H328" s="87"/>
      <c r="I328" s="182"/>
      <c r="J328" s="246"/>
      <c r="K328" s="87"/>
      <c r="L328" s="87"/>
      <c r="M328" s="87"/>
      <c r="N328" s="191"/>
      <c r="O328" s="191"/>
      <c r="P328" s="191"/>
      <c r="Q328" s="182"/>
      <c r="R328" s="87"/>
    </row>
    <row r="329" spans="8:18" s="96" customFormat="1" ht="13.8" x14ac:dyDescent="0.3">
      <c r="H329" s="87"/>
      <c r="I329" s="182"/>
      <c r="J329" s="246"/>
      <c r="K329" s="87"/>
      <c r="L329" s="87"/>
      <c r="M329" s="87"/>
      <c r="N329" s="191"/>
      <c r="O329" s="191"/>
      <c r="P329" s="191"/>
      <c r="Q329" s="182"/>
      <c r="R329" s="87"/>
    </row>
    <row r="330" spans="8:18" s="96" customFormat="1" ht="13.8" x14ac:dyDescent="0.3">
      <c r="H330" s="87"/>
      <c r="I330" s="182"/>
      <c r="J330" s="246"/>
      <c r="K330" s="87"/>
      <c r="L330" s="87"/>
      <c r="M330" s="87"/>
      <c r="N330" s="191"/>
      <c r="O330" s="191"/>
      <c r="P330" s="191"/>
      <c r="Q330" s="182"/>
      <c r="R330" s="87"/>
    </row>
    <row r="331" spans="8:18" s="96" customFormat="1" ht="13.8" x14ac:dyDescent="0.3">
      <c r="H331" s="87"/>
      <c r="I331" s="182"/>
      <c r="J331" s="246"/>
      <c r="K331" s="87"/>
      <c r="L331" s="87"/>
      <c r="M331" s="87"/>
      <c r="N331" s="191"/>
      <c r="O331" s="191"/>
      <c r="P331" s="191"/>
      <c r="Q331" s="182"/>
      <c r="R331" s="87"/>
    </row>
    <row r="332" spans="8:18" s="96" customFormat="1" ht="13.8" x14ac:dyDescent="0.3">
      <c r="H332" s="87"/>
      <c r="I332" s="182"/>
      <c r="J332" s="246"/>
      <c r="K332" s="87"/>
      <c r="L332" s="87"/>
      <c r="M332" s="87"/>
      <c r="N332" s="191"/>
      <c r="O332" s="191"/>
      <c r="P332" s="191"/>
      <c r="Q332" s="182"/>
      <c r="R332" s="87"/>
    </row>
    <row r="333" spans="8:18" s="96" customFormat="1" ht="13.8" x14ac:dyDescent="0.3">
      <c r="H333" s="87"/>
      <c r="I333" s="182"/>
      <c r="J333" s="246"/>
      <c r="K333" s="87"/>
      <c r="L333" s="87"/>
      <c r="M333" s="87"/>
      <c r="N333" s="191"/>
      <c r="O333" s="191"/>
      <c r="P333" s="191"/>
      <c r="Q333" s="182"/>
      <c r="R333" s="87"/>
    </row>
    <row r="334" spans="8:18" s="96" customFormat="1" ht="13.8" x14ac:dyDescent="0.3">
      <c r="H334" s="87"/>
      <c r="I334" s="182"/>
      <c r="J334" s="246"/>
      <c r="K334" s="87"/>
      <c r="L334" s="87"/>
      <c r="M334" s="87"/>
      <c r="N334" s="191"/>
      <c r="O334" s="191"/>
      <c r="P334" s="191"/>
      <c r="Q334" s="182"/>
      <c r="R334" s="87"/>
    </row>
    <row r="335" spans="8:18" s="96" customFormat="1" ht="13.8" x14ac:dyDescent="0.3">
      <c r="H335" s="87"/>
      <c r="I335" s="182"/>
      <c r="J335" s="246"/>
      <c r="K335" s="87"/>
      <c r="L335" s="87"/>
      <c r="M335" s="87"/>
      <c r="N335" s="191"/>
      <c r="O335" s="191"/>
      <c r="P335" s="191"/>
      <c r="Q335" s="182"/>
      <c r="R335" s="87"/>
    </row>
    <row r="336" spans="8:18" s="96" customFormat="1" ht="13.8" x14ac:dyDescent="0.3">
      <c r="H336" s="87"/>
      <c r="I336" s="182"/>
      <c r="J336" s="246"/>
      <c r="K336" s="87"/>
      <c r="L336" s="87"/>
      <c r="M336" s="87"/>
      <c r="N336" s="191"/>
      <c r="O336" s="191"/>
      <c r="P336" s="191"/>
      <c r="Q336" s="182"/>
      <c r="R336" s="87"/>
    </row>
    <row r="337" spans="8:18" s="96" customFormat="1" ht="13.8" x14ac:dyDescent="0.3">
      <c r="H337" s="87"/>
      <c r="I337" s="182"/>
      <c r="J337" s="246"/>
      <c r="K337" s="87"/>
      <c r="L337" s="87"/>
      <c r="M337" s="87"/>
      <c r="N337" s="191"/>
      <c r="O337" s="191"/>
      <c r="P337" s="191"/>
      <c r="Q337" s="182"/>
      <c r="R337" s="87"/>
    </row>
    <row r="338" spans="8:18" s="96" customFormat="1" ht="13.8" x14ac:dyDescent="0.3">
      <c r="H338" s="87"/>
      <c r="I338" s="182"/>
      <c r="J338" s="246"/>
      <c r="K338" s="87"/>
      <c r="L338" s="87"/>
      <c r="M338" s="87"/>
      <c r="N338" s="191"/>
      <c r="O338" s="191"/>
      <c r="P338" s="191"/>
      <c r="Q338" s="182"/>
      <c r="R338" s="87"/>
    </row>
    <row r="339" spans="8:18" s="96" customFormat="1" ht="13.8" x14ac:dyDescent="0.3">
      <c r="H339" s="87"/>
      <c r="I339" s="182"/>
      <c r="J339" s="246"/>
      <c r="K339" s="87"/>
      <c r="L339" s="87"/>
      <c r="M339" s="87"/>
      <c r="N339" s="191"/>
      <c r="O339" s="191"/>
      <c r="P339" s="191"/>
      <c r="Q339" s="182"/>
      <c r="R339" s="87"/>
    </row>
    <row r="340" spans="8:18" s="96" customFormat="1" ht="13.8" x14ac:dyDescent="0.3">
      <c r="H340" s="87"/>
      <c r="I340" s="182"/>
      <c r="J340" s="246"/>
      <c r="K340" s="87"/>
      <c r="L340" s="87"/>
      <c r="M340" s="87"/>
      <c r="N340" s="191"/>
      <c r="O340" s="191"/>
      <c r="P340" s="191"/>
      <c r="Q340" s="182"/>
      <c r="R340" s="87"/>
    </row>
    <row r="341" spans="8:18" s="96" customFormat="1" ht="13.8" x14ac:dyDescent="0.3">
      <c r="H341" s="87"/>
      <c r="I341" s="182"/>
      <c r="J341" s="246"/>
      <c r="K341" s="87"/>
      <c r="L341" s="87"/>
      <c r="M341" s="87"/>
      <c r="N341" s="191"/>
      <c r="O341" s="191"/>
      <c r="P341" s="191"/>
      <c r="Q341" s="182"/>
      <c r="R341" s="87"/>
    </row>
    <row r="342" spans="8:18" s="96" customFormat="1" ht="13.8" x14ac:dyDescent="0.3">
      <c r="H342" s="87"/>
      <c r="I342" s="182"/>
      <c r="J342" s="246"/>
      <c r="K342" s="87"/>
      <c r="L342" s="87"/>
      <c r="M342" s="87"/>
      <c r="N342" s="191"/>
      <c r="O342" s="191"/>
      <c r="P342" s="191"/>
      <c r="Q342" s="182"/>
      <c r="R342" s="87"/>
    </row>
    <row r="343" spans="8:18" s="96" customFormat="1" ht="13.8" x14ac:dyDescent="0.3">
      <c r="H343" s="87"/>
      <c r="I343" s="182"/>
      <c r="J343" s="246"/>
      <c r="K343" s="87"/>
      <c r="L343" s="87"/>
      <c r="M343" s="87"/>
      <c r="N343" s="191"/>
      <c r="O343" s="191"/>
      <c r="P343" s="191"/>
      <c r="Q343" s="182"/>
      <c r="R343" s="87"/>
    </row>
    <row r="344" spans="8:18" s="96" customFormat="1" ht="13.8" x14ac:dyDescent="0.3">
      <c r="H344" s="87"/>
      <c r="I344" s="182"/>
      <c r="J344" s="246"/>
      <c r="K344" s="87"/>
      <c r="L344" s="87"/>
      <c r="M344" s="87"/>
      <c r="N344" s="191"/>
      <c r="O344" s="191"/>
      <c r="P344" s="191"/>
      <c r="Q344" s="182"/>
      <c r="R344" s="87"/>
    </row>
    <row r="345" spans="8:18" s="96" customFormat="1" ht="13.8" x14ac:dyDescent="0.3">
      <c r="H345" s="87"/>
      <c r="I345" s="182"/>
      <c r="J345" s="246"/>
      <c r="K345" s="87"/>
      <c r="L345" s="87"/>
      <c r="M345" s="87"/>
      <c r="N345" s="191"/>
      <c r="O345" s="191"/>
      <c r="P345" s="191"/>
      <c r="Q345" s="182"/>
      <c r="R345" s="87"/>
    </row>
    <row r="346" spans="8:18" s="96" customFormat="1" ht="13.8" x14ac:dyDescent="0.3">
      <c r="H346" s="87"/>
      <c r="I346" s="182"/>
      <c r="J346" s="246"/>
      <c r="K346" s="87"/>
      <c r="L346" s="87"/>
      <c r="M346" s="87"/>
      <c r="N346" s="191"/>
      <c r="O346" s="191"/>
      <c r="P346" s="191"/>
      <c r="Q346" s="182"/>
      <c r="R346" s="87"/>
    </row>
    <row r="347" spans="8:18" s="96" customFormat="1" ht="13.8" x14ac:dyDescent="0.3">
      <c r="H347" s="87"/>
      <c r="I347" s="182"/>
      <c r="J347" s="246"/>
      <c r="K347" s="87"/>
      <c r="L347" s="87"/>
      <c r="M347" s="87"/>
      <c r="N347" s="191"/>
      <c r="O347" s="191"/>
      <c r="P347" s="191"/>
      <c r="Q347" s="182"/>
      <c r="R347" s="87"/>
    </row>
    <row r="348" spans="8:18" s="96" customFormat="1" ht="13.8" x14ac:dyDescent="0.3">
      <c r="H348" s="87"/>
      <c r="I348" s="182"/>
      <c r="J348" s="246"/>
      <c r="K348" s="87"/>
      <c r="L348" s="87"/>
      <c r="M348" s="87"/>
      <c r="N348" s="191"/>
      <c r="O348" s="191"/>
      <c r="P348" s="191"/>
      <c r="Q348" s="182"/>
      <c r="R348" s="87"/>
    </row>
    <row r="349" spans="8:18" s="96" customFormat="1" ht="13.8" x14ac:dyDescent="0.3">
      <c r="H349" s="87"/>
      <c r="I349" s="182"/>
      <c r="J349" s="246"/>
      <c r="K349" s="87"/>
      <c r="L349" s="87"/>
      <c r="M349" s="87"/>
      <c r="N349" s="191"/>
      <c r="O349" s="191"/>
      <c r="P349" s="191"/>
      <c r="Q349" s="182"/>
      <c r="R349" s="87"/>
    </row>
    <row r="350" spans="8:18" s="96" customFormat="1" ht="13.8" x14ac:dyDescent="0.3">
      <c r="H350" s="87"/>
      <c r="I350" s="182"/>
      <c r="J350" s="246"/>
      <c r="K350" s="87"/>
      <c r="L350" s="87"/>
      <c r="M350" s="87"/>
      <c r="N350" s="191"/>
      <c r="O350" s="191"/>
      <c r="P350" s="191"/>
      <c r="Q350" s="182"/>
      <c r="R350" s="87"/>
    </row>
    <row r="351" spans="8:18" s="96" customFormat="1" ht="13.8" x14ac:dyDescent="0.3">
      <c r="H351" s="87"/>
      <c r="I351" s="182"/>
      <c r="J351" s="246"/>
      <c r="K351" s="87"/>
      <c r="L351" s="87"/>
      <c r="M351" s="87"/>
      <c r="N351" s="191"/>
      <c r="O351" s="191"/>
      <c r="P351" s="191"/>
      <c r="Q351" s="182"/>
      <c r="R351" s="87"/>
    </row>
    <row r="352" spans="8:18" s="96" customFormat="1" ht="13.8" x14ac:dyDescent="0.3">
      <c r="H352" s="87"/>
      <c r="I352" s="182"/>
      <c r="J352" s="246"/>
      <c r="K352" s="87"/>
      <c r="L352" s="87"/>
      <c r="M352" s="87"/>
      <c r="N352" s="191"/>
      <c r="O352" s="191"/>
      <c r="P352" s="191"/>
      <c r="Q352" s="182"/>
      <c r="R352" s="87"/>
    </row>
    <row r="353" spans="8:18" s="96" customFormat="1" ht="13.8" x14ac:dyDescent="0.3">
      <c r="H353" s="87"/>
      <c r="I353" s="182"/>
      <c r="J353" s="246"/>
      <c r="K353" s="87"/>
      <c r="L353" s="87"/>
      <c r="M353" s="87"/>
      <c r="N353" s="191"/>
      <c r="O353" s="191"/>
      <c r="P353" s="191"/>
      <c r="Q353" s="182"/>
      <c r="R353" s="87"/>
    </row>
    <row r="354" spans="8:18" s="96" customFormat="1" ht="13.8" x14ac:dyDescent="0.3">
      <c r="H354" s="87"/>
      <c r="I354" s="182"/>
      <c r="J354" s="246"/>
      <c r="K354" s="87"/>
      <c r="L354" s="87"/>
      <c r="M354" s="87"/>
      <c r="N354" s="191"/>
      <c r="O354" s="191"/>
      <c r="P354" s="191"/>
      <c r="Q354" s="182"/>
      <c r="R354" s="87"/>
    </row>
    <row r="355" spans="8:18" s="96" customFormat="1" ht="13.8" x14ac:dyDescent="0.3">
      <c r="H355" s="87"/>
      <c r="I355" s="182"/>
      <c r="J355" s="246"/>
      <c r="K355" s="87"/>
      <c r="L355" s="87"/>
      <c r="M355" s="87"/>
      <c r="N355" s="191"/>
      <c r="O355" s="191"/>
      <c r="P355" s="191"/>
      <c r="Q355" s="182"/>
      <c r="R355" s="87"/>
    </row>
    <row r="356" spans="8:18" s="96" customFormat="1" ht="13.8" x14ac:dyDescent="0.3">
      <c r="H356" s="87"/>
      <c r="I356" s="182"/>
      <c r="J356" s="246"/>
      <c r="K356" s="87"/>
      <c r="L356" s="87"/>
      <c r="M356" s="87"/>
      <c r="N356" s="191"/>
      <c r="O356" s="191"/>
      <c r="P356" s="191"/>
      <c r="Q356" s="182"/>
      <c r="R356" s="87"/>
    </row>
    <row r="357" spans="8:18" s="96" customFormat="1" ht="13.8" x14ac:dyDescent="0.3">
      <c r="H357" s="87"/>
      <c r="I357" s="182"/>
      <c r="J357" s="246"/>
      <c r="K357" s="87"/>
      <c r="L357" s="87"/>
      <c r="M357" s="87"/>
      <c r="N357" s="191"/>
      <c r="O357" s="191"/>
      <c r="P357" s="191"/>
      <c r="Q357" s="182"/>
      <c r="R357" s="87"/>
    </row>
    <row r="358" spans="8:18" s="96" customFormat="1" ht="13.8" x14ac:dyDescent="0.3">
      <c r="H358" s="87"/>
      <c r="I358" s="182"/>
      <c r="J358" s="246"/>
      <c r="K358" s="87"/>
      <c r="L358" s="87"/>
      <c r="M358" s="87"/>
      <c r="N358" s="191"/>
      <c r="O358" s="191"/>
      <c r="P358" s="191"/>
      <c r="Q358" s="182"/>
      <c r="R358" s="87"/>
    </row>
    <row r="359" spans="8:18" s="96" customFormat="1" ht="13.8" x14ac:dyDescent="0.3">
      <c r="H359" s="87"/>
      <c r="I359" s="182"/>
      <c r="J359" s="246"/>
      <c r="K359" s="87"/>
      <c r="L359" s="87"/>
      <c r="M359" s="87"/>
      <c r="N359" s="191"/>
      <c r="O359" s="191"/>
      <c r="P359" s="191"/>
      <c r="Q359" s="182"/>
      <c r="R359" s="87"/>
    </row>
    <row r="360" spans="8:18" s="96" customFormat="1" ht="13.8" x14ac:dyDescent="0.3">
      <c r="H360" s="87"/>
      <c r="I360" s="182"/>
      <c r="J360" s="246"/>
      <c r="K360" s="87"/>
      <c r="L360" s="87"/>
      <c r="M360" s="87"/>
      <c r="N360" s="191"/>
      <c r="O360" s="191"/>
      <c r="P360" s="191"/>
      <c r="Q360" s="182"/>
      <c r="R360" s="87"/>
    </row>
    <row r="361" spans="8:18" s="96" customFormat="1" ht="13.8" x14ac:dyDescent="0.3">
      <c r="H361" s="87"/>
      <c r="I361" s="182"/>
      <c r="J361" s="246"/>
      <c r="K361" s="87"/>
      <c r="L361" s="87"/>
      <c r="M361" s="87"/>
      <c r="N361" s="191"/>
      <c r="O361" s="191"/>
      <c r="P361" s="191"/>
      <c r="Q361" s="182"/>
      <c r="R361" s="87"/>
    </row>
    <row r="362" spans="8:18" s="96" customFormat="1" ht="13.8" x14ac:dyDescent="0.3">
      <c r="H362" s="87"/>
      <c r="I362" s="182"/>
      <c r="J362" s="246"/>
      <c r="K362" s="87"/>
      <c r="L362" s="87"/>
      <c r="M362" s="87"/>
      <c r="N362" s="191"/>
      <c r="O362" s="191"/>
      <c r="P362" s="191"/>
      <c r="Q362" s="182"/>
      <c r="R362" s="87"/>
    </row>
    <row r="363" spans="8:18" s="96" customFormat="1" ht="13.8" x14ac:dyDescent="0.3">
      <c r="H363" s="87"/>
      <c r="I363" s="182"/>
      <c r="J363" s="246"/>
      <c r="K363" s="87"/>
      <c r="L363" s="87"/>
      <c r="M363" s="87"/>
      <c r="N363" s="191"/>
      <c r="O363" s="191"/>
      <c r="P363" s="191"/>
      <c r="Q363" s="182"/>
      <c r="R363" s="87"/>
    </row>
    <row r="364" spans="8:18" s="96" customFormat="1" ht="13.8" x14ac:dyDescent="0.3">
      <c r="H364" s="87"/>
      <c r="I364" s="182"/>
      <c r="J364" s="246"/>
      <c r="K364" s="87"/>
      <c r="L364" s="87"/>
      <c r="M364" s="87"/>
      <c r="N364" s="191"/>
      <c r="O364" s="191"/>
      <c r="P364" s="191"/>
      <c r="Q364" s="182"/>
      <c r="R364" s="87"/>
    </row>
    <row r="365" spans="8:18" s="96" customFormat="1" ht="13.8" x14ac:dyDescent="0.3">
      <c r="H365" s="87"/>
      <c r="I365" s="182"/>
      <c r="J365" s="246"/>
      <c r="K365" s="87"/>
      <c r="L365" s="87"/>
      <c r="M365" s="87"/>
      <c r="N365" s="191"/>
      <c r="O365" s="191"/>
      <c r="P365" s="191"/>
      <c r="Q365" s="182"/>
      <c r="R365" s="87"/>
    </row>
    <row r="366" spans="8:18" s="96" customFormat="1" ht="13.8" x14ac:dyDescent="0.3">
      <c r="H366" s="87"/>
      <c r="I366" s="182"/>
      <c r="J366" s="246"/>
      <c r="K366" s="87"/>
      <c r="L366" s="87"/>
      <c r="M366" s="87"/>
      <c r="N366" s="191"/>
      <c r="O366" s="191"/>
      <c r="P366" s="191"/>
      <c r="Q366" s="182"/>
      <c r="R366" s="87"/>
    </row>
    <row r="367" spans="8:18" s="96" customFormat="1" ht="13.8" x14ac:dyDescent="0.3">
      <c r="H367" s="87"/>
      <c r="I367" s="182"/>
      <c r="J367" s="246"/>
      <c r="K367" s="87"/>
      <c r="L367" s="87"/>
      <c r="M367" s="87"/>
      <c r="N367" s="191"/>
      <c r="O367" s="191"/>
      <c r="P367" s="191"/>
      <c r="Q367" s="182"/>
      <c r="R367" s="87"/>
    </row>
    <row r="368" spans="8:18" s="96" customFormat="1" ht="13.8" x14ac:dyDescent="0.3">
      <c r="H368" s="87"/>
      <c r="I368" s="182"/>
      <c r="J368" s="246"/>
      <c r="K368" s="87"/>
      <c r="L368" s="87"/>
      <c r="M368" s="87"/>
      <c r="N368" s="191"/>
      <c r="O368" s="191"/>
      <c r="P368" s="191"/>
      <c r="Q368" s="182"/>
      <c r="R368" s="87"/>
    </row>
    <row r="369" spans="2:86" s="96" customFormat="1" ht="13.8" x14ac:dyDescent="0.3">
      <c r="H369" s="87"/>
      <c r="I369" s="182"/>
      <c r="J369" s="246"/>
      <c r="K369" s="87"/>
      <c r="L369" s="87"/>
      <c r="M369" s="87"/>
      <c r="N369" s="191"/>
      <c r="O369" s="191"/>
      <c r="P369" s="191"/>
      <c r="Q369" s="182"/>
      <c r="R369" s="87"/>
    </row>
    <row r="370" spans="2:86" s="96" customFormat="1" ht="13.8" x14ac:dyDescent="0.3">
      <c r="H370" s="87"/>
      <c r="I370" s="182"/>
      <c r="J370" s="246"/>
      <c r="K370" s="87"/>
      <c r="L370" s="87"/>
      <c r="M370" s="87"/>
      <c r="N370" s="191"/>
      <c r="O370" s="191"/>
      <c r="P370" s="191"/>
      <c r="Q370" s="182"/>
      <c r="R370" s="87"/>
    </row>
    <row r="371" spans="2:86" s="96" customFormat="1" ht="13.8" x14ac:dyDescent="0.3">
      <c r="H371" s="87"/>
      <c r="I371" s="182"/>
      <c r="J371" s="246"/>
      <c r="K371" s="87"/>
      <c r="L371" s="87"/>
      <c r="M371" s="87"/>
      <c r="N371" s="191"/>
      <c r="O371" s="191"/>
      <c r="P371" s="191"/>
      <c r="Q371" s="182"/>
      <c r="R371" s="87"/>
    </row>
    <row r="372" spans="2:86" s="96" customFormat="1" ht="13.8" x14ac:dyDescent="0.3">
      <c r="H372" s="87"/>
      <c r="I372" s="182"/>
      <c r="J372" s="246"/>
      <c r="K372" s="87"/>
      <c r="L372" s="87"/>
      <c r="M372" s="87"/>
      <c r="N372" s="191"/>
      <c r="O372" s="191"/>
      <c r="P372" s="191"/>
      <c r="Q372" s="182"/>
      <c r="R372" s="87"/>
    </row>
    <row r="373" spans="2:86" s="96" customFormat="1" ht="13.8" x14ac:dyDescent="0.3">
      <c r="H373" s="87"/>
      <c r="I373" s="182"/>
      <c r="J373" s="246"/>
      <c r="K373" s="87"/>
      <c r="L373" s="87"/>
      <c r="M373" s="87"/>
      <c r="N373" s="191"/>
      <c r="O373" s="191"/>
      <c r="P373" s="191"/>
      <c r="Q373" s="182"/>
      <c r="R373" s="87"/>
    </row>
    <row r="374" spans="2:86" x14ac:dyDescent="0.3">
      <c r="B374" s="96"/>
      <c r="C374" s="96"/>
      <c r="D374" s="96"/>
      <c r="E374" s="96"/>
      <c r="F374" s="96"/>
      <c r="H374" s="87"/>
      <c r="I374" s="182"/>
      <c r="J374" s="246"/>
      <c r="M374" s="87"/>
      <c r="N374" s="191"/>
      <c r="O374" s="191"/>
      <c r="P374" s="191"/>
      <c r="Y374" s="85"/>
      <c r="Z374" s="85"/>
      <c r="AA374" s="85"/>
      <c r="AB374" s="85"/>
      <c r="AC374" s="85"/>
      <c r="AD374" s="85"/>
      <c r="AE374" s="85"/>
      <c r="AF374" s="85"/>
      <c r="AG374" s="85"/>
      <c r="AH374" s="85"/>
      <c r="AI374" s="85"/>
      <c r="AJ374" s="85"/>
      <c r="AK374" s="85"/>
      <c r="AL374" s="85"/>
      <c r="AM374" s="85"/>
      <c r="AN374" s="85"/>
      <c r="AO374" s="85"/>
      <c r="AP374" s="85"/>
      <c r="AQ374" s="85"/>
      <c r="AR374" s="85"/>
      <c r="AS374" s="85"/>
      <c r="AT374" s="85"/>
      <c r="AU374" s="85"/>
      <c r="AV374" s="85"/>
      <c r="AW374" s="85"/>
      <c r="AX374" s="85"/>
      <c r="AY374" s="85"/>
      <c r="AZ374" s="85"/>
      <c r="BA374" s="85"/>
      <c r="BB374" s="85"/>
      <c r="BC374" s="85"/>
      <c r="BD374" s="85"/>
      <c r="BE374" s="85"/>
      <c r="BF374" s="85"/>
      <c r="BG374" s="85"/>
      <c r="BH374" s="85"/>
      <c r="BI374" s="85"/>
      <c r="BJ374" s="85"/>
      <c r="BK374" s="85"/>
      <c r="BL374" s="85"/>
      <c r="BM374" s="85"/>
      <c r="BN374" s="85"/>
      <c r="BO374" s="85"/>
      <c r="BP374" s="85"/>
      <c r="BQ374" s="85"/>
      <c r="BR374" s="85"/>
      <c r="BS374" s="85"/>
      <c r="BT374" s="85"/>
      <c r="BU374" s="85"/>
      <c r="BV374" s="85"/>
      <c r="BW374" s="85"/>
      <c r="BX374" s="85"/>
      <c r="BY374" s="85"/>
      <c r="BZ374" s="85"/>
      <c r="CA374" s="85"/>
      <c r="CB374" s="85"/>
      <c r="CC374" s="85"/>
      <c r="CD374" s="85"/>
      <c r="CE374" s="85"/>
      <c r="CF374" s="85"/>
      <c r="CG374" s="85"/>
      <c r="CH374" s="85"/>
    </row>
    <row r="375" spans="2:86" x14ac:dyDescent="0.3">
      <c r="B375" s="96"/>
      <c r="C375" s="96"/>
      <c r="D375" s="96"/>
      <c r="E375" s="96"/>
      <c r="F375" s="96"/>
      <c r="H375" s="87"/>
      <c r="I375" s="182"/>
      <c r="J375" s="246"/>
      <c r="M375" s="87"/>
      <c r="N375" s="191"/>
      <c r="O375" s="191"/>
      <c r="P375" s="191"/>
      <c r="Y375" s="85"/>
      <c r="Z375" s="85"/>
      <c r="AA375" s="85"/>
      <c r="AB375" s="85"/>
      <c r="AC375" s="85"/>
      <c r="AD375" s="85"/>
      <c r="AE375" s="85"/>
      <c r="AF375" s="85"/>
      <c r="AG375" s="85"/>
      <c r="AH375" s="85"/>
      <c r="AI375" s="85"/>
      <c r="AJ375" s="85"/>
      <c r="AK375" s="85"/>
      <c r="AL375" s="85"/>
      <c r="AM375" s="85"/>
      <c r="AN375" s="85"/>
      <c r="AO375" s="85"/>
      <c r="AP375" s="85"/>
      <c r="AQ375" s="85"/>
      <c r="AR375" s="85"/>
      <c r="AS375" s="85"/>
      <c r="AT375" s="85"/>
      <c r="AU375" s="85"/>
      <c r="AV375" s="85"/>
      <c r="AW375" s="85"/>
      <c r="AX375" s="85"/>
      <c r="AY375" s="85"/>
      <c r="AZ375" s="85"/>
      <c r="BA375" s="85"/>
      <c r="BB375" s="85"/>
      <c r="BC375" s="85"/>
      <c r="BD375" s="85"/>
      <c r="BE375" s="85"/>
      <c r="BF375" s="85"/>
      <c r="BG375" s="85"/>
      <c r="BH375" s="85"/>
      <c r="BI375" s="85"/>
      <c r="BJ375" s="85"/>
      <c r="BK375" s="85"/>
      <c r="BL375" s="85"/>
      <c r="BM375" s="85"/>
      <c r="BN375" s="85"/>
      <c r="BO375" s="85"/>
      <c r="BP375" s="85"/>
      <c r="BQ375" s="85"/>
      <c r="BR375" s="85"/>
      <c r="BS375" s="85"/>
      <c r="BT375" s="85"/>
      <c r="BU375" s="85"/>
      <c r="BV375" s="85"/>
      <c r="BW375" s="85"/>
      <c r="BX375" s="85"/>
      <c r="BY375" s="85"/>
      <c r="BZ375" s="85"/>
      <c r="CA375" s="85"/>
      <c r="CB375" s="85"/>
      <c r="CC375" s="85"/>
      <c r="CD375" s="85"/>
      <c r="CE375" s="85"/>
      <c r="CF375" s="85"/>
      <c r="CG375" s="85"/>
      <c r="CH375" s="85"/>
    </row>
    <row r="376" spans="2:86" x14ac:dyDescent="0.3">
      <c r="B376" s="96"/>
      <c r="C376" s="96"/>
      <c r="D376" s="96"/>
      <c r="E376" s="96"/>
      <c r="F376" s="96"/>
      <c r="H376" s="87"/>
      <c r="I376" s="182"/>
      <c r="J376" s="246"/>
      <c r="M376" s="87"/>
      <c r="N376" s="191"/>
      <c r="O376" s="191"/>
      <c r="P376" s="191"/>
      <c r="Y376" s="85"/>
      <c r="Z376" s="85"/>
      <c r="AA376" s="85"/>
      <c r="AB376" s="85"/>
      <c r="AC376" s="85"/>
      <c r="AD376" s="85"/>
      <c r="AE376" s="85"/>
      <c r="AF376" s="85"/>
      <c r="AG376" s="85"/>
      <c r="AH376" s="85"/>
      <c r="AI376" s="85"/>
      <c r="AJ376" s="85"/>
      <c r="AK376" s="85"/>
      <c r="AL376" s="85"/>
      <c r="AM376" s="85"/>
      <c r="AN376" s="85"/>
      <c r="AO376" s="85"/>
      <c r="AP376" s="85"/>
      <c r="AQ376" s="85"/>
      <c r="AR376" s="85"/>
      <c r="AS376" s="85"/>
      <c r="AT376" s="85"/>
      <c r="AU376" s="85"/>
      <c r="AV376" s="85"/>
      <c r="AW376" s="85"/>
      <c r="AX376" s="85"/>
      <c r="AY376" s="85"/>
      <c r="AZ376" s="85"/>
      <c r="BA376" s="85"/>
      <c r="BB376" s="85"/>
      <c r="BC376" s="85"/>
      <c r="BD376" s="85"/>
      <c r="BE376" s="85"/>
      <c r="BF376" s="85"/>
      <c r="BG376" s="85"/>
      <c r="BH376" s="85"/>
      <c r="BI376" s="85"/>
      <c r="BJ376" s="85"/>
      <c r="BK376" s="85"/>
      <c r="BL376" s="85"/>
      <c r="BM376" s="85"/>
      <c r="BN376" s="85"/>
      <c r="BO376" s="85"/>
      <c r="BP376" s="85"/>
      <c r="BQ376" s="85"/>
      <c r="BR376" s="85"/>
      <c r="BS376" s="85"/>
      <c r="BT376" s="85"/>
      <c r="BU376" s="85"/>
      <c r="BV376" s="85"/>
      <c r="BW376" s="85"/>
      <c r="BX376" s="85"/>
      <c r="BY376" s="85"/>
      <c r="BZ376" s="85"/>
      <c r="CA376" s="85"/>
      <c r="CB376" s="85"/>
      <c r="CC376" s="85"/>
      <c r="CD376" s="85"/>
      <c r="CE376" s="85"/>
      <c r="CF376" s="85"/>
      <c r="CG376" s="85"/>
      <c r="CH376" s="85"/>
    </row>
    <row r="377" spans="2:86" x14ac:dyDescent="0.3">
      <c r="B377" s="96"/>
      <c r="C377" s="96"/>
      <c r="D377" s="96"/>
      <c r="E377" s="96"/>
      <c r="F377" s="96"/>
      <c r="H377" s="87"/>
      <c r="I377" s="182"/>
      <c r="J377" s="246"/>
      <c r="M377" s="87"/>
      <c r="N377" s="191"/>
      <c r="O377" s="191"/>
      <c r="P377" s="191"/>
      <c r="Y377" s="85"/>
      <c r="Z377" s="85"/>
      <c r="AA377" s="85"/>
      <c r="AB377" s="85"/>
      <c r="AC377" s="85"/>
      <c r="AD377" s="85"/>
      <c r="AE377" s="85"/>
      <c r="AF377" s="85"/>
      <c r="AG377" s="85"/>
      <c r="AH377" s="85"/>
      <c r="AI377" s="85"/>
      <c r="AJ377" s="85"/>
      <c r="AK377" s="85"/>
      <c r="AL377" s="85"/>
      <c r="AM377" s="85"/>
      <c r="AN377" s="85"/>
      <c r="AO377" s="85"/>
      <c r="AP377" s="85"/>
      <c r="AQ377" s="85"/>
      <c r="AR377" s="85"/>
      <c r="AS377" s="85"/>
      <c r="AT377" s="85"/>
      <c r="AU377" s="85"/>
      <c r="AV377" s="85"/>
      <c r="AW377" s="85"/>
      <c r="AX377" s="85"/>
      <c r="AY377" s="85"/>
      <c r="AZ377" s="85"/>
      <c r="BA377" s="85"/>
      <c r="BB377" s="85"/>
      <c r="BC377" s="85"/>
      <c r="BD377" s="85"/>
      <c r="BE377" s="85"/>
      <c r="BF377" s="85"/>
      <c r="BG377" s="85"/>
      <c r="BH377" s="85"/>
      <c r="BI377" s="85"/>
      <c r="BJ377" s="85"/>
      <c r="BK377" s="85"/>
      <c r="BL377" s="85"/>
      <c r="BM377" s="85"/>
      <c r="BN377" s="85"/>
      <c r="BO377" s="85"/>
      <c r="BP377" s="85"/>
      <c r="BQ377" s="85"/>
      <c r="BR377" s="85"/>
      <c r="BS377" s="85"/>
      <c r="BT377" s="85"/>
      <c r="BU377" s="85"/>
      <c r="BV377" s="85"/>
      <c r="BW377" s="85"/>
      <c r="BX377" s="85"/>
      <c r="BY377" s="85"/>
      <c r="BZ377" s="85"/>
      <c r="CA377" s="85"/>
      <c r="CB377" s="85"/>
      <c r="CC377" s="85"/>
      <c r="CD377" s="85"/>
      <c r="CE377" s="85"/>
      <c r="CF377" s="85"/>
      <c r="CG377" s="85"/>
      <c r="CH377" s="85"/>
    </row>
    <row r="378" spans="2:86" x14ac:dyDescent="0.3">
      <c r="B378" s="96"/>
      <c r="C378" s="96"/>
      <c r="D378" s="96"/>
      <c r="E378" s="96"/>
      <c r="F378" s="96"/>
      <c r="H378" s="87"/>
      <c r="I378" s="182"/>
      <c r="J378" s="246"/>
      <c r="M378" s="87"/>
      <c r="N378" s="191"/>
      <c r="O378" s="191"/>
      <c r="P378" s="191"/>
      <c r="Y378" s="85"/>
      <c r="Z378" s="85"/>
      <c r="AA378" s="85"/>
      <c r="AB378" s="85"/>
      <c r="AC378" s="85"/>
      <c r="AD378" s="85"/>
      <c r="AE378" s="85"/>
      <c r="AF378" s="85"/>
      <c r="AG378" s="85"/>
      <c r="AH378" s="85"/>
      <c r="AI378" s="85"/>
      <c r="AJ378" s="85"/>
      <c r="AK378" s="85"/>
      <c r="AL378" s="85"/>
      <c r="AM378" s="85"/>
      <c r="AN378" s="85"/>
      <c r="AO378" s="85"/>
      <c r="AP378" s="85"/>
      <c r="AQ378" s="85"/>
      <c r="AR378" s="85"/>
      <c r="AS378" s="85"/>
      <c r="AT378" s="85"/>
      <c r="AU378" s="85"/>
      <c r="AV378" s="85"/>
      <c r="AW378" s="85"/>
      <c r="AX378" s="85"/>
      <c r="AY378" s="85"/>
      <c r="AZ378" s="85"/>
      <c r="BA378" s="85"/>
      <c r="BB378" s="85"/>
      <c r="BC378" s="85"/>
      <c r="BD378" s="85"/>
      <c r="BE378" s="85"/>
      <c r="BF378" s="85"/>
      <c r="BG378" s="85"/>
      <c r="BH378" s="85"/>
      <c r="BI378" s="85"/>
      <c r="BJ378" s="85"/>
      <c r="BK378" s="85"/>
      <c r="BL378" s="85"/>
      <c r="BM378" s="85"/>
      <c r="BN378" s="85"/>
      <c r="BO378" s="85"/>
      <c r="BP378" s="85"/>
      <c r="BQ378" s="85"/>
      <c r="BR378" s="85"/>
      <c r="BS378" s="85"/>
      <c r="BT378" s="85"/>
      <c r="BU378" s="85"/>
      <c r="BV378" s="85"/>
      <c r="BW378" s="85"/>
      <c r="BX378" s="85"/>
      <c r="BY378" s="85"/>
      <c r="BZ378" s="85"/>
      <c r="CA378" s="85"/>
      <c r="CB378" s="85"/>
      <c r="CC378" s="85"/>
      <c r="CD378" s="85"/>
      <c r="CE378" s="85"/>
      <c r="CF378" s="85"/>
      <c r="CG378" s="85"/>
      <c r="CH378" s="85"/>
    </row>
    <row r="379" spans="2:86" x14ac:dyDescent="0.3">
      <c r="B379" s="96"/>
      <c r="C379" s="96"/>
      <c r="D379" s="96"/>
      <c r="E379" s="96"/>
      <c r="F379" s="96"/>
      <c r="H379" s="87"/>
      <c r="I379" s="182"/>
      <c r="J379" s="246"/>
      <c r="M379" s="87"/>
      <c r="N379" s="191"/>
      <c r="O379" s="191"/>
      <c r="P379" s="191"/>
      <c r="Y379" s="85"/>
      <c r="Z379" s="85"/>
      <c r="AA379" s="85"/>
      <c r="AB379" s="85"/>
      <c r="AC379" s="85"/>
      <c r="AD379" s="85"/>
      <c r="AE379" s="85"/>
      <c r="AF379" s="85"/>
      <c r="AG379" s="85"/>
      <c r="AH379" s="85"/>
      <c r="AI379" s="85"/>
      <c r="AJ379" s="85"/>
      <c r="AK379" s="85"/>
      <c r="AL379" s="85"/>
      <c r="AM379" s="85"/>
      <c r="AN379" s="85"/>
      <c r="AO379" s="85"/>
      <c r="AP379" s="85"/>
      <c r="AQ379" s="85"/>
      <c r="AR379" s="85"/>
      <c r="AS379" s="85"/>
      <c r="AT379" s="85"/>
      <c r="AU379" s="85"/>
      <c r="AV379" s="85"/>
      <c r="AW379" s="85"/>
      <c r="AX379" s="85"/>
      <c r="AY379" s="85"/>
      <c r="AZ379" s="85"/>
      <c r="BA379" s="85"/>
      <c r="BB379" s="85"/>
      <c r="BC379" s="85"/>
      <c r="BD379" s="85"/>
      <c r="BE379" s="85"/>
      <c r="BF379" s="85"/>
      <c r="BG379" s="85"/>
      <c r="BH379" s="85"/>
      <c r="BI379" s="85"/>
      <c r="BJ379" s="85"/>
      <c r="BK379" s="85"/>
      <c r="BL379" s="85"/>
      <c r="BM379" s="85"/>
      <c r="BN379" s="85"/>
      <c r="BO379" s="85"/>
      <c r="BP379" s="85"/>
      <c r="BQ379" s="85"/>
      <c r="BR379" s="85"/>
      <c r="BS379" s="85"/>
      <c r="BT379" s="85"/>
      <c r="BU379" s="85"/>
      <c r="BV379" s="85"/>
      <c r="BW379" s="85"/>
      <c r="BX379" s="85"/>
      <c r="BY379" s="85"/>
      <c r="BZ379" s="85"/>
      <c r="CA379" s="85"/>
      <c r="CB379" s="85"/>
      <c r="CC379" s="85"/>
      <c r="CD379" s="85"/>
      <c r="CE379" s="85"/>
      <c r="CF379" s="85"/>
      <c r="CG379" s="85"/>
      <c r="CH379" s="85"/>
    </row>
    <row r="380" spans="2:86" x14ac:dyDescent="0.3">
      <c r="B380" s="96"/>
      <c r="C380" s="96"/>
      <c r="D380" s="96"/>
      <c r="E380" s="96"/>
      <c r="F380" s="96"/>
      <c r="H380" s="87"/>
      <c r="I380" s="182"/>
      <c r="J380" s="246"/>
      <c r="M380" s="87"/>
      <c r="N380" s="191"/>
      <c r="O380" s="191"/>
      <c r="P380" s="191"/>
      <c r="X380" s="85"/>
      <c r="Y380" s="85"/>
      <c r="Z380" s="85"/>
      <c r="AA380" s="85"/>
      <c r="AB380" s="85"/>
      <c r="AC380" s="85"/>
      <c r="AD380" s="85"/>
      <c r="AE380" s="85"/>
      <c r="AF380" s="85"/>
      <c r="AG380" s="85"/>
      <c r="AH380" s="85"/>
      <c r="AI380" s="85"/>
      <c r="AJ380" s="85"/>
      <c r="AK380" s="85"/>
      <c r="AL380" s="85"/>
      <c r="AM380" s="85"/>
      <c r="AN380" s="85"/>
      <c r="AO380" s="85"/>
      <c r="AP380" s="85"/>
      <c r="AQ380" s="85"/>
      <c r="AR380" s="85"/>
      <c r="AS380" s="85"/>
      <c r="AT380" s="85"/>
      <c r="AU380" s="85"/>
      <c r="AV380" s="85"/>
      <c r="AW380" s="85"/>
      <c r="AX380" s="85"/>
      <c r="AY380" s="85"/>
      <c r="AZ380" s="85"/>
      <c r="BA380" s="85"/>
      <c r="BB380" s="85"/>
      <c r="BC380" s="85"/>
      <c r="BD380" s="85"/>
      <c r="BE380" s="85"/>
      <c r="BF380" s="85"/>
      <c r="BG380" s="85"/>
      <c r="BH380" s="85"/>
      <c r="BI380" s="85"/>
      <c r="BJ380" s="85"/>
      <c r="BK380" s="85"/>
      <c r="BL380" s="85"/>
      <c r="BM380" s="85"/>
      <c r="BN380" s="85"/>
      <c r="BO380" s="85"/>
      <c r="BP380" s="85"/>
      <c r="BQ380" s="85"/>
      <c r="BR380" s="85"/>
      <c r="BS380" s="85"/>
      <c r="BT380" s="85"/>
      <c r="BU380" s="85"/>
      <c r="BV380" s="85"/>
      <c r="BW380" s="85"/>
      <c r="BX380" s="85"/>
      <c r="BY380" s="85"/>
      <c r="BZ380" s="85"/>
      <c r="CA380" s="85"/>
      <c r="CB380" s="85"/>
      <c r="CC380" s="85"/>
      <c r="CD380" s="85"/>
      <c r="CE380" s="85"/>
      <c r="CF380" s="85"/>
      <c r="CG380" s="85"/>
      <c r="CH380" s="85"/>
    </row>
    <row r="381" spans="2:86" x14ac:dyDescent="0.3">
      <c r="B381" s="96"/>
      <c r="C381" s="96"/>
      <c r="D381" s="96"/>
      <c r="E381" s="96"/>
      <c r="F381" s="96"/>
      <c r="H381" s="87"/>
      <c r="I381" s="182"/>
      <c r="J381" s="246"/>
      <c r="M381" s="87"/>
      <c r="N381" s="191"/>
      <c r="O381" s="191"/>
      <c r="P381" s="191"/>
      <c r="X381" s="85"/>
      <c r="Y381" s="85"/>
      <c r="Z381" s="85"/>
      <c r="AA381" s="85"/>
      <c r="AB381" s="85"/>
      <c r="AC381" s="85"/>
      <c r="AD381" s="85"/>
      <c r="AE381" s="85"/>
      <c r="AF381" s="85"/>
      <c r="AG381" s="85"/>
      <c r="AH381" s="85"/>
      <c r="AI381" s="85"/>
      <c r="AJ381" s="85"/>
      <c r="AK381" s="85"/>
      <c r="AL381" s="85"/>
      <c r="AM381" s="85"/>
      <c r="AN381" s="85"/>
      <c r="AO381" s="85"/>
      <c r="AP381" s="85"/>
      <c r="AQ381" s="85"/>
      <c r="AR381" s="85"/>
      <c r="AS381" s="85"/>
      <c r="AT381" s="85"/>
      <c r="AU381" s="85"/>
      <c r="AV381" s="85"/>
      <c r="AW381" s="85"/>
      <c r="AX381" s="85"/>
      <c r="AY381" s="85"/>
      <c r="AZ381" s="85"/>
      <c r="BA381" s="85"/>
      <c r="BB381" s="85"/>
      <c r="BC381" s="85"/>
      <c r="BD381" s="85"/>
      <c r="BE381" s="85"/>
      <c r="BF381" s="85"/>
      <c r="BG381" s="85"/>
      <c r="BH381" s="85"/>
      <c r="BI381" s="85"/>
      <c r="BJ381" s="85"/>
      <c r="BK381" s="85"/>
      <c r="BL381" s="85"/>
      <c r="BM381" s="85"/>
      <c r="BN381" s="85"/>
      <c r="BO381" s="85"/>
      <c r="BP381" s="85"/>
      <c r="BQ381" s="85"/>
      <c r="BR381" s="85"/>
      <c r="BS381" s="85"/>
      <c r="BT381" s="85"/>
      <c r="BU381" s="85"/>
      <c r="BV381" s="85"/>
      <c r="BW381" s="85"/>
      <c r="BX381" s="85"/>
      <c r="BY381" s="85"/>
      <c r="BZ381" s="85"/>
      <c r="CA381" s="85"/>
      <c r="CB381" s="85"/>
      <c r="CC381" s="85"/>
      <c r="CD381" s="85"/>
      <c r="CE381" s="85"/>
      <c r="CF381" s="85"/>
      <c r="CG381" s="85"/>
      <c r="CH381" s="85"/>
    </row>
    <row r="382" spans="2:86" x14ac:dyDescent="0.3">
      <c r="B382" s="96"/>
      <c r="C382" s="96"/>
      <c r="D382" s="96"/>
      <c r="E382" s="96"/>
      <c r="F382" s="96"/>
      <c r="H382" s="87"/>
      <c r="I382" s="182"/>
      <c r="J382" s="246"/>
      <c r="M382" s="87"/>
      <c r="N382" s="191"/>
      <c r="O382" s="191"/>
      <c r="P382" s="191"/>
      <c r="X382" s="85"/>
      <c r="Y382" s="85"/>
      <c r="Z382" s="85"/>
      <c r="AA382" s="85"/>
      <c r="AB382" s="85"/>
      <c r="AC382" s="85"/>
      <c r="AD382" s="85"/>
      <c r="AE382" s="85"/>
      <c r="AF382" s="85"/>
      <c r="AG382" s="85"/>
      <c r="AH382" s="85"/>
      <c r="AI382" s="85"/>
      <c r="AJ382" s="85"/>
      <c r="AK382" s="85"/>
      <c r="AL382" s="85"/>
      <c r="AM382" s="85"/>
      <c r="AN382" s="85"/>
      <c r="AO382" s="85"/>
      <c r="AP382" s="85"/>
      <c r="AQ382" s="85"/>
      <c r="AR382" s="85"/>
      <c r="AS382" s="85"/>
      <c r="AT382" s="85"/>
      <c r="AU382" s="85"/>
      <c r="AV382" s="85"/>
      <c r="AW382" s="85"/>
      <c r="AX382" s="85"/>
      <c r="AY382" s="85"/>
      <c r="AZ382" s="85"/>
      <c r="BA382" s="85"/>
      <c r="BB382" s="85"/>
      <c r="BC382" s="85"/>
      <c r="BD382" s="85"/>
      <c r="BE382" s="85"/>
      <c r="BF382" s="85"/>
      <c r="BG382" s="85"/>
      <c r="BH382" s="85"/>
      <c r="BI382" s="85"/>
      <c r="BJ382" s="85"/>
      <c r="BK382" s="85"/>
      <c r="BL382" s="85"/>
      <c r="BM382" s="85"/>
      <c r="BN382" s="85"/>
      <c r="BO382" s="85"/>
      <c r="BP382" s="85"/>
      <c r="BQ382" s="85"/>
      <c r="BR382" s="85"/>
      <c r="BS382" s="85"/>
      <c r="BT382" s="85"/>
      <c r="BU382" s="85"/>
      <c r="BV382" s="85"/>
      <c r="BW382" s="85"/>
      <c r="BX382" s="85"/>
      <c r="BY382" s="85"/>
      <c r="BZ382" s="85"/>
      <c r="CA382" s="85"/>
      <c r="CB382" s="85"/>
      <c r="CC382" s="85"/>
      <c r="CD382" s="85"/>
      <c r="CE382" s="85"/>
      <c r="CF382" s="85"/>
      <c r="CG382" s="85"/>
      <c r="CH382" s="85"/>
    </row>
    <row r="383" spans="2:86" x14ac:dyDescent="0.3">
      <c r="B383" s="96"/>
      <c r="C383" s="96"/>
      <c r="D383" s="96"/>
      <c r="E383" s="96"/>
      <c r="F383" s="96"/>
      <c r="H383" s="87"/>
      <c r="I383" s="182"/>
      <c r="J383" s="246"/>
      <c r="M383" s="87"/>
      <c r="N383" s="191"/>
      <c r="O383" s="191"/>
      <c r="P383" s="191"/>
      <c r="X383" s="85"/>
      <c r="Y383" s="85"/>
      <c r="Z383" s="85"/>
      <c r="AA383" s="85"/>
      <c r="AB383" s="85"/>
      <c r="AC383" s="85"/>
      <c r="AD383" s="85"/>
      <c r="AE383" s="85"/>
      <c r="AF383" s="85"/>
      <c r="AG383" s="85"/>
      <c r="AH383" s="85"/>
      <c r="AI383" s="85"/>
      <c r="AJ383" s="85"/>
      <c r="AK383" s="85"/>
      <c r="AL383" s="85"/>
      <c r="AM383" s="85"/>
      <c r="AN383" s="85"/>
      <c r="AO383" s="85"/>
      <c r="AP383" s="85"/>
      <c r="AQ383" s="85"/>
      <c r="AR383" s="85"/>
      <c r="AS383" s="85"/>
      <c r="AT383" s="85"/>
      <c r="AU383" s="85"/>
      <c r="AV383" s="85"/>
      <c r="AW383" s="85"/>
      <c r="AX383" s="85"/>
      <c r="AY383" s="85"/>
      <c r="AZ383" s="85"/>
      <c r="BA383" s="85"/>
      <c r="BB383" s="85"/>
      <c r="BC383" s="85"/>
      <c r="BD383" s="85"/>
      <c r="BE383" s="85"/>
      <c r="BF383" s="85"/>
      <c r="BG383" s="85"/>
      <c r="BH383" s="85"/>
      <c r="BI383" s="85"/>
      <c r="BJ383" s="85"/>
      <c r="BK383" s="85"/>
      <c r="BL383" s="85"/>
      <c r="BM383" s="85"/>
      <c r="BN383" s="85"/>
      <c r="BO383" s="85"/>
      <c r="BP383" s="85"/>
      <c r="BQ383" s="85"/>
      <c r="BR383" s="85"/>
      <c r="BS383" s="85"/>
      <c r="BT383" s="85"/>
      <c r="BU383" s="85"/>
      <c r="BV383" s="85"/>
      <c r="BW383" s="85"/>
      <c r="BX383" s="85"/>
      <c r="BY383" s="85"/>
      <c r="BZ383" s="85"/>
      <c r="CA383" s="85"/>
      <c r="CB383" s="85"/>
      <c r="CC383" s="85"/>
      <c r="CD383" s="85"/>
      <c r="CE383" s="85"/>
      <c r="CF383" s="85"/>
      <c r="CG383" s="85"/>
      <c r="CH383" s="85"/>
    </row>
    <row r="384" spans="2:86" x14ac:dyDescent="0.3">
      <c r="B384" s="96"/>
      <c r="C384" s="96"/>
      <c r="D384" s="96"/>
      <c r="E384" s="96"/>
      <c r="F384" s="96"/>
      <c r="H384" s="87"/>
      <c r="I384" s="182"/>
      <c r="J384" s="246"/>
      <c r="M384" s="87"/>
      <c r="N384" s="191"/>
      <c r="O384" s="191"/>
      <c r="P384" s="191"/>
      <c r="U384" s="85"/>
      <c r="V384" s="85"/>
      <c r="W384" s="85"/>
      <c r="X384" s="85"/>
      <c r="Y384" s="85"/>
      <c r="Z384" s="85"/>
      <c r="AA384" s="85"/>
      <c r="AB384" s="85"/>
      <c r="AC384" s="85"/>
      <c r="AD384" s="85"/>
      <c r="AE384" s="85"/>
      <c r="AF384" s="85"/>
      <c r="AG384" s="85"/>
      <c r="AH384" s="85"/>
      <c r="AI384" s="85"/>
      <c r="AJ384" s="85"/>
      <c r="AK384" s="85"/>
      <c r="AL384" s="85"/>
      <c r="AM384" s="85"/>
      <c r="AN384" s="85"/>
      <c r="AO384" s="85"/>
      <c r="AP384" s="85"/>
      <c r="AQ384" s="85"/>
      <c r="AR384" s="85"/>
      <c r="AS384" s="85"/>
      <c r="AT384" s="85"/>
      <c r="AU384" s="85"/>
      <c r="AV384" s="85"/>
      <c r="AW384" s="85"/>
      <c r="AX384" s="85"/>
      <c r="AY384" s="85"/>
      <c r="AZ384" s="85"/>
      <c r="BA384" s="85"/>
      <c r="BB384" s="85"/>
      <c r="BC384" s="85"/>
      <c r="BD384" s="85"/>
      <c r="BE384" s="85"/>
      <c r="BF384" s="85"/>
      <c r="BG384" s="85"/>
      <c r="BH384" s="85"/>
      <c r="BI384" s="85"/>
      <c r="BJ384" s="85"/>
      <c r="BK384" s="85"/>
      <c r="BL384" s="85"/>
      <c r="BM384" s="85"/>
      <c r="BN384" s="85"/>
      <c r="BO384" s="85"/>
      <c r="BP384" s="85"/>
      <c r="BQ384" s="85"/>
      <c r="BR384" s="85"/>
      <c r="BS384" s="85"/>
      <c r="BT384" s="85"/>
      <c r="BU384" s="85"/>
      <c r="BV384" s="85"/>
      <c r="BW384" s="85"/>
      <c r="BX384" s="85"/>
      <c r="BY384" s="85"/>
      <c r="BZ384" s="85"/>
      <c r="CA384" s="85"/>
      <c r="CB384" s="85"/>
      <c r="CC384" s="85"/>
      <c r="CD384" s="85"/>
      <c r="CE384" s="85"/>
      <c r="CF384" s="85"/>
      <c r="CG384" s="85"/>
      <c r="CH384" s="85"/>
    </row>
    <row r="385" spans="2:86" x14ac:dyDescent="0.3">
      <c r="B385" s="96"/>
      <c r="C385" s="96"/>
      <c r="D385" s="96"/>
      <c r="E385" s="96"/>
      <c r="F385" s="96"/>
      <c r="H385" s="87"/>
      <c r="I385" s="182"/>
      <c r="J385" s="246"/>
      <c r="M385" s="87"/>
      <c r="N385" s="191"/>
      <c r="O385" s="191"/>
      <c r="P385" s="191"/>
      <c r="U385" s="85"/>
      <c r="V385" s="85"/>
      <c r="W385" s="85"/>
      <c r="X385" s="85"/>
      <c r="Y385" s="85"/>
      <c r="Z385" s="85"/>
      <c r="AA385" s="85"/>
      <c r="AB385" s="85"/>
      <c r="AC385" s="85"/>
      <c r="AD385" s="85"/>
      <c r="AE385" s="85"/>
      <c r="AF385" s="85"/>
      <c r="AG385" s="85"/>
      <c r="AH385" s="85"/>
      <c r="AI385" s="85"/>
      <c r="AJ385" s="85"/>
      <c r="AK385" s="85"/>
      <c r="AL385" s="85"/>
      <c r="AM385" s="85"/>
      <c r="AN385" s="85"/>
      <c r="AO385" s="85"/>
      <c r="AP385" s="85"/>
      <c r="AQ385" s="85"/>
      <c r="AR385" s="85"/>
      <c r="AS385" s="85"/>
      <c r="AT385" s="85"/>
      <c r="AU385" s="85"/>
      <c r="AV385" s="85"/>
      <c r="AW385" s="85"/>
      <c r="AX385" s="85"/>
      <c r="AY385" s="85"/>
      <c r="AZ385" s="85"/>
      <c r="BA385" s="85"/>
      <c r="BB385" s="85"/>
      <c r="BC385" s="85"/>
      <c r="BD385" s="85"/>
      <c r="BE385" s="85"/>
      <c r="BF385" s="85"/>
      <c r="BG385" s="85"/>
      <c r="BH385" s="85"/>
      <c r="BI385" s="85"/>
      <c r="BJ385" s="85"/>
      <c r="BK385" s="85"/>
      <c r="BL385" s="85"/>
      <c r="BM385" s="85"/>
      <c r="BN385" s="85"/>
      <c r="BO385" s="85"/>
      <c r="BP385" s="85"/>
      <c r="BQ385" s="85"/>
      <c r="BR385" s="85"/>
      <c r="BS385" s="85"/>
      <c r="BT385" s="85"/>
      <c r="BU385" s="85"/>
      <c r="BV385" s="85"/>
      <c r="BW385" s="85"/>
      <c r="BX385" s="85"/>
      <c r="BY385" s="85"/>
      <c r="BZ385" s="85"/>
      <c r="CA385" s="85"/>
      <c r="CB385" s="85"/>
      <c r="CC385" s="85"/>
      <c r="CD385" s="85"/>
      <c r="CE385" s="85"/>
      <c r="CF385" s="85"/>
      <c r="CG385" s="85"/>
      <c r="CH385" s="85"/>
    </row>
    <row r="386" spans="2:86" x14ac:dyDescent="0.3">
      <c r="B386" s="96"/>
      <c r="C386" s="96"/>
      <c r="D386" s="96"/>
      <c r="E386" s="96"/>
      <c r="F386" s="96"/>
      <c r="H386" s="87"/>
      <c r="I386" s="182"/>
      <c r="J386" s="246"/>
      <c r="M386" s="87"/>
      <c r="N386" s="191"/>
      <c r="O386" s="191"/>
      <c r="P386" s="191"/>
      <c r="T386" s="85"/>
      <c r="U386" s="85"/>
      <c r="V386" s="85"/>
      <c r="W386" s="85"/>
      <c r="X386" s="85"/>
      <c r="Y386" s="85"/>
      <c r="Z386" s="85"/>
      <c r="AA386" s="85"/>
      <c r="AB386" s="85"/>
      <c r="AC386" s="85"/>
      <c r="AD386" s="85"/>
      <c r="AE386" s="85"/>
      <c r="AF386" s="85"/>
      <c r="AG386" s="85"/>
      <c r="AH386" s="85"/>
      <c r="AI386" s="85"/>
      <c r="AJ386" s="85"/>
      <c r="AK386" s="85"/>
      <c r="AL386" s="85"/>
      <c r="AM386" s="85"/>
      <c r="AN386" s="85"/>
      <c r="AO386" s="85"/>
      <c r="AP386" s="85"/>
      <c r="AQ386" s="85"/>
      <c r="AR386" s="85"/>
      <c r="AS386" s="85"/>
      <c r="AT386" s="85"/>
      <c r="AU386" s="85"/>
      <c r="AV386" s="85"/>
      <c r="AW386" s="85"/>
      <c r="AX386" s="85"/>
      <c r="AY386" s="85"/>
      <c r="AZ386" s="85"/>
      <c r="BA386" s="85"/>
      <c r="BB386" s="85"/>
      <c r="BC386" s="85"/>
      <c r="BD386" s="85"/>
      <c r="BE386" s="85"/>
      <c r="BF386" s="85"/>
      <c r="BG386" s="85"/>
      <c r="BH386" s="85"/>
      <c r="BI386" s="85"/>
      <c r="BJ386" s="85"/>
      <c r="BK386" s="85"/>
      <c r="BL386" s="85"/>
      <c r="BM386" s="85"/>
      <c r="BN386" s="85"/>
      <c r="BO386" s="85"/>
      <c r="BP386" s="85"/>
      <c r="BQ386" s="85"/>
      <c r="BR386" s="85"/>
      <c r="BS386" s="85"/>
      <c r="BT386" s="85"/>
      <c r="BU386" s="85"/>
      <c r="BV386" s="85"/>
      <c r="BW386" s="85"/>
      <c r="BX386" s="85"/>
      <c r="BY386" s="85"/>
      <c r="BZ386" s="85"/>
      <c r="CA386" s="85"/>
      <c r="CB386" s="85"/>
      <c r="CC386" s="85"/>
      <c r="CD386" s="85"/>
      <c r="CE386" s="85"/>
      <c r="CF386" s="85"/>
      <c r="CG386" s="85"/>
      <c r="CH386" s="85"/>
    </row>
    <row r="387" spans="2:86" x14ac:dyDescent="0.3">
      <c r="B387" s="96"/>
      <c r="C387" s="96"/>
      <c r="D387" s="96"/>
      <c r="E387" s="96"/>
      <c r="F387" s="96"/>
      <c r="H387" s="87"/>
      <c r="I387" s="182"/>
      <c r="J387" s="246"/>
      <c r="M387" s="87"/>
      <c r="N387" s="191"/>
      <c r="O387" s="191"/>
      <c r="P387" s="191"/>
      <c r="T387" s="85"/>
      <c r="U387" s="85"/>
      <c r="V387" s="85"/>
      <c r="W387" s="85"/>
      <c r="X387" s="85"/>
      <c r="Y387" s="85"/>
      <c r="Z387" s="85"/>
      <c r="AA387" s="85"/>
      <c r="AB387" s="85"/>
      <c r="AC387" s="85"/>
      <c r="AD387" s="85"/>
      <c r="AE387" s="85"/>
      <c r="AF387" s="85"/>
      <c r="AG387" s="85"/>
      <c r="AH387" s="85"/>
      <c r="AI387" s="85"/>
      <c r="AJ387" s="85"/>
      <c r="AK387" s="85"/>
      <c r="AL387" s="85"/>
      <c r="AM387" s="85"/>
      <c r="AN387" s="85"/>
      <c r="AO387" s="85"/>
      <c r="AP387" s="85"/>
      <c r="AQ387" s="85"/>
      <c r="AR387" s="85"/>
      <c r="AS387" s="85"/>
      <c r="AT387" s="85"/>
      <c r="AU387" s="85"/>
      <c r="AV387" s="85"/>
      <c r="AW387" s="85"/>
      <c r="AX387" s="85"/>
      <c r="AY387" s="85"/>
      <c r="AZ387" s="85"/>
      <c r="BA387" s="85"/>
      <c r="BB387" s="85"/>
      <c r="BC387" s="85"/>
      <c r="BD387" s="85"/>
      <c r="BE387" s="85"/>
      <c r="BF387" s="85"/>
      <c r="BG387" s="85"/>
      <c r="BH387" s="85"/>
      <c r="BI387" s="85"/>
      <c r="BJ387" s="85"/>
      <c r="BK387" s="85"/>
      <c r="BL387" s="85"/>
      <c r="BM387" s="85"/>
      <c r="BN387" s="85"/>
      <c r="BO387" s="85"/>
      <c r="BP387" s="85"/>
      <c r="BQ387" s="85"/>
      <c r="BR387" s="85"/>
      <c r="BS387" s="85"/>
      <c r="BT387" s="85"/>
      <c r="BU387" s="85"/>
      <c r="BV387" s="85"/>
      <c r="BW387" s="85"/>
      <c r="BX387" s="85"/>
      <c r="BY387" s="85"/>
      <c r="BZ387" s="85"/>
      <c r="CA387" s="85"/>
      <c r="CB387" s="85"/>
      <c r="CC387" s="85"/>
      <c r="CD387" s="85"/>
      <c r="CE387" s="85"/>
      <c r="CF387" s="85"/>
      <c r="CG387" s="85"/>
      <c r="CH387" s="85"/>
    </row>
    <row r="388" spans="2:86" x14ac:dyDescent="0.3">
      <c r="B388" s="96"/>
      <c r="C388" s="96"/>
      <c r="D388" s="96"/>
      <c r="E388" s="96"/>
      <c r="F388" s="96"/>
      <c r="H388" s="87"/>
      <c r="I388" s="182"/>
      <c r="J388" s="246"/>
      <c r="M388" s="87"/>
      <c r="N388" s="191"/>
      <c r="O388" s="191"/>
      <c r="P388" s="191"/>
      <c r="T388" s="85"/>
      <c r="U388" s="85"/>
      <c r="V388" s="85"/>
      <c r="W388" s="85"/>
      <c r="X388" s="85"/>
      <c r="Y388" s="85"/>
      <c r="Z388" s="85"/>
      <c r="AA388" s="85"/>
      <c r="AB388" s="85"/>
      <c r="AC388" s="85"/>
      <c r="AD388" s="85"/>
      <c r="AE388" s="85"/>
      <c r="AF388" s="85"/>
      <c r="AG388" s="85"/>
      <c r="AH388" s="85"/>
      <c r="AI388" s="85"/>
      <c r="AJ388" s="85"/>
      <c r="AK388" s="85"/>
      <c r="AL388" s="85"/>
      <c r="AM388" s="85"/>
      <c r="AN388" s="85"/>
      <c r="AO388" s="85"/>
      <c r="AP388" s="85"/>
      <c r="AQ388" s="85"/>
      <c r="AR388" s="85"/>
      <c r="AS388" s="85"/>
      <c r="AT388" s="85"/>
      <c r="AU388" s="85"/>
      <c r="AV388" s="85"/>
      <c r="AW388" s="85"/>
      <c r="AX388" s="85"/>
      <c r="AY388" s="85"/>
      <c r="AZ388" s="85"/>
      <c r="BA388" s="85"/>
      <c r="BB388" s="85"/>
      <c r="BC388" s="85"/>
      <c r="BD388" s="85"/>
      <c r="BE388" s="85"/>
      <c r="BF388" s="85"/>
      <c r="BG388" s="85"/>
      <c r="BH388" s="85"/>
      <c r="BI388" s="85"/>
      <c r="BJ388" s="85"/>
      <c r="BK388" s="85"/>
      <c r="BL388" s="85"/>
      <c r="BM388" s="85"/>
      <c r="BN388" s="85"/>
      <c r="BO388" s="85"/>
      <c r="BP388" s="85"/>
      <c r="BQ388" s="85"/>
      <c r="BR388" s="85"/>
      <c r="BS388" s="85"/>
      <c r="BT388" s="85"/>
      <c r="BU388" s="85"/>
      <c r="BV388" s="85"/>
      <c r="BW388" s="85"/>
      <c r="BX388" s="85"/>
      <c r="BY388" s="85"/>
      <c r="BZ388" s="85"/>
      <c r="CA388" s="85"/>
      <c r="CB388" s="85"/>
      <c r="CC388" s="85"/>
      <c r="CD388" s="85"/>
      <c r="CE388" s="85"/>
      <c r="CF388" s="85"/>
      <c r="CG388" s="85"/>
      <c r="CH388" s="85"/>
    </row>
    <row r="389" spans="2:86" x14ac:dyDescent="0.3">
      <c r="B389" s="96"/>
      <c r="C389" s="96"/>
      <c r="D389" s="96"/>
      <c r="E389" s="96"/>
      <c r="F389" s="96"/>
      <c r="H389" s="87"/>
      <c r="I389" s="182"/>
      <c r="J389" s="246"/>
      <c r="M389" s="87"/>
      <c r="N389" s="191"/>
      <c r="O389" s="191"/>
      <c r="P389" s="191"/>
      <c r="T389" s="85"/>
      <c r="U389" s="85"/>
      <c r="V389" s="85"/>
      <c r="W389" s="85"/>
      <c r="X389" s="85"/>
      <c r="Y389" s="85"/>
      <c r="Z389" s="85"/>
      <c r="AA389" s="85"/>
      <c r="AB389" s="85"/>
      <c r="AC389" s="85"/>
      <c r="AD389" s="85"/>
      <c r="AE389" s="85"/>
      <c r="AF389" s="85"/>
      <c r="AG389" s="85"/>
      <c r="AH389" s="85"/>
      <c r="AI389" s="85"/>
      <c r="AJ389" s="85"/>
      <c r="AK389" s="85"/>
      <c r="AL389" s="85"/>
      <c r="AM389" s="85"/>
      <c r="AN389" s="85"/>
      <c r="AO389" s="85"/>
      <c r="AP389" s="85"/>
      <c r="AQ389" s="85"/>
      <c r="AR389" s="85"/>
      <c r="AS389" s="85"/>
      <c r="AT389" s="85"/>
      <c r="AU389" s="85"/>
      <c r="AV389" s="85"/>
      <c r="AW389" s="85"/>
      <c r="AX389" s="85"/>
      <c r="AY389" s="85"/>
      <c r="AZ389" s="85"/>
      <c r="BA389" s="85"/>
      <c r="BB389" s="85"/>
      <c r="BC389" s="85"/>
      <c r="BD389" s="85"/>
      <c r="BE389" s="85"/>
      <c r="BF389" s="85"/>
      <c r="BG389" s="85"/>
      <c r="BH389" s="85"/>
      <c r="BI389" s="85"/>
      <c r="BJ389" s="85"/>
      <c r="BK389" s="85"/>
      <c r="BL389" s="85"/>
      <c r="BM389" s="85"/>
      <c r="BN389" s="85"/>
      <c r="BO389" s="85"/>
      <c r="BP389" s="85"/>
      <c r="BQ389" s="85"/>
      <c r="BR389" s="85"/>
      <c r="BS389" s="85"/>
      <c r="BT389" s="85"/>
      <c r="BU389" s="85"/>
      <c r="BV389" s="85"/>
      <c r="BW389" s="85"/>
      <c r="BX389" s="85"/>
      <c r="BY389" s="85"/>
      <c r="BZ389" s="85"/>
      <c r="CA389" s="85"/>
      <c r="CB389" s="85"/>
      <c r="CC389" s="85"/>
      <c r="CD389" s="85"/>
      <c r="CE389" s="85"/>
      <c r="CF389" s="85"/>
      <c r="CG389" s="85"/>
      <c r="CH389" s="85"/>
    </row>
    <row r="390" spans="2:86" x14ac:dyDescent="0.3">
      <c r="B390" s="96"/>
      <c r="C390" s="96"/>
      <c r="D390" s="96"/>
      <c r="E390" s="96"/>
      <c r="F390" s="96"/>
      <c r="H390" s="87"/>
      <c r="I390" s="182"/>
      <c r="J390" s="246"/>
      <c r="M390" s="87"/>
      <c r="N390" s="191"/>
      <c r="O390" s="191"/>
      <c r="P390" s="191"/>
      <c r="T390" s="85"/>
      <c r="U390" s="85"/>
      <c r="V390" s="85"/>
      <c r="W390" s="85"/>
      <c r="X390" s="85"/>
      <c r="Y390" s="85"/>
      <c r="Z390" s="85"/>
      <c r="AA390" s="85"/>
      <c r="AB390" s="85"/>
      <c r="AC390" s="85"/>
      <c r="AD390" s="85"/>
      <c r="AE390" s="85"/>
      <c r="AF390" s="85"/>
      <c r="AG390" s="85"/>
      <c r="AH390" s="85"/>
      <c r="AI390" s="85"/>
      <c r="AJ390" s="85"/>
      <c r="AK390" s="85"/>
      <c r="AL390" s="85"/>
      <c r="AM390" s="85"/>
      <c r="AN390" s="85"/>
      <c r="AO390" s="85"/>
      <c r="AP390" s="85"/>
      <c r="AQ390" s="85"/>
      <c r="AR390" s="85"/>
      <c r="AS390" s="85"/>
      <c r="AT390" s="85"/>
      <c r="AU390" s="85"/>
      <c r="AV390" s="85"/>
      <c r="AW390" s="85"/>
      <c r="AX390" s="85"/>
      <c r="AY390" s="85"/>
      <c r="AZ390" s="85"/>
      <c r="BA390" s="85"/>
      <c r="BB390" s="85"/>
      <c r="BC390" s="85"/>
      <c r="BD390" s="85"/>
      <c r="BE390" s="85"/>
      <c r="BF390" s="85"/>
      <c r="BG390" s="85"/>
      <c r="BH390" s="85"/>
      <c r="BI390" s="85"/>
      <c r="BJ390" s="85"/>
      <c r="BK390" s="85"/>
      <c r="BL390" s="85"/>
      <c r="BM390" s="85"/>
      <c r="BN390" s="85"/>
      <c r="BO390" s="85"/>
      <c r="BP390" s="85"/>
      <c r="BQ390" s="85"/>
      <c r="BR390" s="85"/>
      <c r="BS390" s="85"/>
      <c r="BT390" s="85"/>
      <c r="BU390" s="85"/>
      <c r="BV390" s="85"/>
      <c r="BW390" s="85"/>
      <c r="BX390" s="85"/>
      <c r="BY390" s="85"/>
      <c r="BZ390" s="85"/>
      <c r="CA390" s="85"/>
      <c r="CB390" s="85"/>
      <c r="CC390" s="85"/>
      <c r="CD390" s="85"/>
      <c r="CE390" s="85"/>
      <c r="CF390" s="85"/>
      <c r="CG390" s="85"/>
      <c r="CH390" s="85"/>
    </row>
    <row r="391" spans="2:86" x14ac:dyDescent="0.3">
      <c r="B391" s="96"/>
      <c r="C391" s="96"/>
      <c r="D391" s="96"/>
      <c r="E391" s="96"/>
      <c r="F391" s="96"/>
      <c r="H391" s="87"/>
      <c r="I391" s="182"/>
      <c r="J391" s="246"/>
      <c r="M391" s="87"/>
      <c r="N391" s="191"/>
      <c r="O391" s="191"/>
      <c r="P391" s="191"/>
      <c r="T391" s="85"/>
      <c r="U391" s="85"/>
      <c r="V391" s="85"/>
      <c r="W391" s="85"/>
      <c r="X391" s="85"/>
      <c r="Y391" s="85"/>
      <c r="Z391" s="85"/>
      <c r="AA391" s="85"/>
      <c r="AB391" s="85"/>
      <c r="AC391" s="85"/>
      <c r="AD391" s="85"/>
      <c r="AE391" s="85"/>
      <c r="AF391" s="85"/>
      <c r="AG391" s="85"/>
      <c r="AH391" s="85"/>
      <c r="AI391" s="85"/>
      <c r="AJ391" s="85"/>
      <c r="AK391" s="85"/>
      <c r="AL391" s="85"/>
      <c r="AM391" s="85"/>
      <c r="AN391" s="85"/>
      <c r="AO391" s="85"/>
      <c r="AP391" s="85"/>
      <c r="AQ391" s="85"/>
      <c r="AR391" s="85"/>
      <c r="AS391" s="85"/>
      <c r="AT391" s="85"/>
      <c r="AU391" s="85"/>
      <c r="AV391" s="85"/>
      <c r="AW391" s="85"/>
      <c r="AX391" s="85"/>
      <c r="AY391" s="85"/>
      <c r="AZ391" s="85"/>
      <c r="BA391" s="85"/>
      <c r="BB391" s="85"/>
      <c r="BC391" s="85"/>
      <c r="BD391" s="85"/>
      <c r="BE391" s="85"/>
      <c r="BF391" s="85"/>
      <c r="BG391" s="85"/>
      <c r="BH391" s="85"/>
      <c r="BI391" s="85"/>
      <c r="BJ391" s="85"/>
      <c r="BK391" s="85"/>
      <c r="BL391" s="85"/>
      <c r="BM391" s="85"/>
      <c r="BN391" s="85"/>
      <c r="BO391" s="85"/>
      <c r="BP391" s="85"/>
      <c r="BQ391" s="85"/>
      <c r="BR391" s="85"/>
      <c r="BS391" s="85"/>
      <c r="BT391" s="85"/>
      <c r="BU391" s="85"/>
      <c r="BV391" s="85"/>
      <c r="BW391" s="85"/>
      <c r="BX391" s="85"/>
      <c r="BY391" s="85"/>
      <c r="BZ391" s="85"/>
      <c r="CA391" s="85"/>
      <c r="CB391" s="85"/>
      <c r="CC391" s="85"/>
      <c r="CD391" s="85"/>
      <c r="CE391" s="85"/>
      <c r="CF391" s="85"/>
      <c r="CG391" s="85"/>
      <c r="CH391" s="85"/>
    </row>
    <row r="392" spans="2:86" x14ac:dyDescent="0.3">
      <c r="B392" s="96"/>
      <c r="C392" s="96"/>
      <c r="D392" s="96"/>
      <c r="E392" s="96"/>
      <c r="F392" s="96"/>
      <c r="H392" s="87"/>
      <c r="I392" s="182"/>
      <c r="J392" s="246"/>
      <c r="M392" s="87"/>
      <c r="N392" s="191"/>
      <c r="O392" s="191"/>
      <c r="P392" s="191"/>
      <c r="T392" s="85"/>
      <c r="U392" s="85"/>
      <c r="V392" s="85"/>
      <c r="W392" s="85"/>
      <c r="X392" s="85"/>
      <c r="Y392" s="85"/>
      <c r="Z392" s="85"/>
      <c r="AA392" s="85"/>
      <c r="AB392" s="85"/>
      <c r="AC392" s="85"/>
      <c r="AD392" s="85"/>
      <c r="AE392" s="85"/>
      <c r="AF392" s="85"/>
      <c r="AG392" s="85"/>
      <c r="AH392" s="85"/>
      <c r="AI392" s="85"/>
      <c r="AJ392" s="85"/>
      <c r="AK392" s="85"/>
      <c r="AL392" s="85"/>
      <c r="AM392" s="85"/>
      <c r="AN392" s="85"/>
      <c r="AO392" s="85"/>
      <c r="AP392" s="85"/>
      <c r="AQ392" s="85"/>
      <c r="AR392" s="85"/>
      <c r="AS392" s="85"/>
      <c r="AT392" s="85"/>
      <c r="AU392" s="85"/>
      <c r="AV392" s="85"/>
      <c r="AW392" s="85"/>
      <c r="AX392" s="85"/>
      <c r="AY392" s="85"/>
      <c r="AZ392" s="85"/>
      <c r="BA392" s="85"/>
      <c r="BB392" s="85"/>
      <c r="BC392" s="85"/>
      <c r="BD392" s="85"/>
      <c r="BE392" s="85"/>
      <c r="BF392" s="85"/>
      <c r="BG392" s="85"/>
      <c r="BH392" s="85"/>
      <c r="BI392" s="85"/>
      <c r="BJ392" s="85"/>
      <c r="BK392" s="85"/>
      <c r="BL392" s="85"/>
      <c r="BM392" s="85"/>
      <c r="BN392" s="85"/>
      <c r="BO392" s="85"/>
      <c r="BP392" s="85"/>
      <c r="BQ392" s="85"/>
      <c r="BR392" s="85"/>
      <c r="BS392" s="85"/>
      <c r="BT392" s="85"/>
      <c r="BU392" s="85"/>
      <c r="BV392" s="85"/>
      <c r="BW392" s="85"/>
      <c r="BX392" s="85"/>
      <c r="BY392" s="85"/>
      <c r="BZ392" s="85"/>
      <c r="CA392" s="85"/>
      <c r="CB392" s="85"/>
      <c r="CC392" s="85"/>
      <c r="CD392" s="85"/>
      <c r="CE392" s="85"/>
      <c r="CF392" s="85"/>
      <c r="CG392" s="85"/>
      <c r="CH392" s="85"/>
    </row>
    <row r="393" spans="2:86" x14ac:dyDescent="0.3">
      <c r="B393" s="96"/>
      <c r="C393" s="96"/>
      <c r="D393" s="96"/>
      <c r="E393" s="96"/>
      <c r="F393" s="96"/>
      <c r="H393" s="87"/>
      <c r="I393" s="182"/>
      <c r="J393" s="246"/>
      <c r="M393" s="87"/>
      <c r="N393" s="191"/>
      <c r="O393" s="191"/>
      <c r="P393" s="191"/>
      <c r="T393" s="85"/>
      <c r="U393" s="85"/>
      <c r="V393" s="85"/>
      <c r="W393" s="85"/>
      <c r="X393" s="85"/>
      <c r="Y393" s="85"/>
      <c r="Z393" s="85"/>
      <c r="AA393" s="85"/>
      <c r="AB393" s="85"/>
      <c r="AC393" s="85"/>
      <c r="AD393" s="85"/>
      <c r="AE393" s="85"/>
      <c r="AF393" s="85"/>
      <c r="AG393" s="85"/>
      <c r="AH393" s="85"/>
      <c r="AI393" s="85"/>
      <c r="AJ393" s="85"/>
      <c r="AK393" s="85"/>
      <c r="AL393" s="85"/>
      <c r="AM393" s="85"/>
      <c r="AN393" s="85"/>
      <c r="AO393" s="85"/>
      <c r="AP393" s="85"/>
      <c r="AQ393" s="85"/>
      <c r="AR393" s="85"/>
      <c r="AS393" s="85"/>
      <c r="AT393" s="85"/>
      <c r="AU393" s="85"/>
      <c r="AV393" s="85"/>
      <c r="AW393" s="85"/>
      <c r="AX393" s="85"/>
      <c r="AY393" s="85"/>
      <c r="AZ393" s="85"/>
      <c r="BA393" s="85"/>
      <c r="BB393" s="85"/>
      <c r="BC393" s="85"/>
      <c r="BD393" s="85"/>
      <c r="BE393" s="85"/>
      <c r="BF393" s="85"/>
      <c r="BG393" s="85"/>
      <c r="BH393" s="85"/>
      <c r="BI393" s="85"/>
      <c r="BJ393" s="85"/>
      <c r="BK393" s="85"/>
      <c r="BL393" s="85"/>
      <c r="BM393" s="85"/>
      <c r="BN393" s="85"/>
      <c r="BO393" s="85"/>
      <c r="BP393" s="85"/>
      <c r="BQ393" s="85"/>
      <c r="BR393" s="85"/>
      <c r="BS393" s="85"/>
      <c r="BT393" s="85"/>
      <c r="BU393" s="85"/>
      <c r="BV393" s="85"/>
      <c r="BW393" s="85"/>
      <c r="BX393" s="85"/>
      <c r="BY393" s="85"/>
      <c r="BZ393" s="85"/>
      <c r="CA393" s="85"/>
      <c r="CB393" s="85"/>
      <c r="CC393" s="85"/>
      <c r="CD393" s="85"/>
      <c r="CE393" s="85"/>
      <c r="CF393" s="85"/>
      <c r="CG393" s="85"/>
      <c r="CH393" s="85"/>
    </row>
    <row r="394" spans="2:86" x14ac:dyDescent="0.3">
      <c r="B394" s="96"/>
      <c r="C394" s="96"/>
      <c r="D394" s="96"/>
      <c r="E394" s="96"/>
      <c r="F394" s="96"/>
      <c r="H394" s="87"/>
      <c r="I394" s="182"/>
      <c r="J394" s="246"/>
      <c r="M394" s="87"/>
      <c r="N394" s="191"/>
      <c r="O394" s="191"/>
      <c r="P394" s="191"/>
      <c r="T394" s="85"/>
      <c r="U394" s="85"/>
      <c r="V394" s="85"/>
      <c r="W394" s="85"/>
      <c r="X394" s="85"/>
      <c r="Y394" s="85"/>
      <c r="Z394" s="85"/>
      <c r="AA394" s="85"/>
      <c r="AB394" s="85"/>
      <c r="AC394" s="85"/>
      <c r="AD394" s="85"/>
      <c r="AE394" s="85"/>
      <c r="AF394" s="85"/>
      <c r="AG394" s="85"/>
      <c r="AH394" s="85"/>
      <c r="AI394" s="85"/>
      <c r="AJ394" s="85"/>
      <c r="AK394" s="85"/>
      <c r="AL394" s="85"/>
      <c r="AM394" s="85"/>
      <c r="AN394" s="85"/>
      <c r="AO394" s="85"/>
      <c r="AP394" s="85"/>
      <c r="AQ394" s="85"/>
      <c r="AR394" s="85"/>
      <c r="AS394" s="85"/>
      <c r="AT394" s="85"/>
      <c r="AU394" s="85"/>
      <c r="AV394" s="85"/>
      <c r="AW394" s="85"/>
      <c r="AX394" s="85"/>
      <c r="AY394" s="85"/>
      <c r="AZ394" s="85"/>
      <c r="BA394" s="85"/>
      <c r="BB394" s="85"/>
      <c r="BC394" s="85"/>
      <c r="BD394" s="85"/>
      <c r="BE394" s="85"/>
      <c r="BF394" s="85"/>
      <c r="BG394" s="85"/>
      <c r="BH394" s="85"/>
      <c r="BI394" s="85"/>
      <c r="BJ394" s="85"/>
      <c r="BK394" s="85"/>
      <c r="BL394" s="85"/>
      <c r="BM394" s="85"/>
      <c r="BN394" s="85"/>
      <c r="BO394" s="85"/>
      <c r="BP394" s="85"/>
      <c r="BQ394" s="85"/>
      <c r="BR394" s="85"/>
      <c r="BS394" s="85"/>
      <c r="BT394" s="85"/>
      <c r="BU394" s="85"/>
      <c r="BV394" s="85"/>
      <c r="BW394" s="85"/>
      <c r="BX394" s="85"/>
      <c r="BY394" s="85"/>
      <c r="BZ394" s="85"/>
      <c r="CA394" s="85"/>
      <c r="CB394" s="85"/>
      <c r="CC394" s="85"/>
      <c r="CD394" s="85"/>
      <c r="CE394" s="85"/>
      <c r="CF394" s="85"/>
      <c r="CG394" s="85"/>
      <c r="CH394" s="85"/>
    </row>
    <row r="395" spans="2:86" x14ac:dyDescent="0.3">
      <c r="B395" s="96"/>
      <c r="C395" s="96"/>
      <c r="D395" s="96"/>
      <c r="E395" s="96"/>
      <c r="F395" s="96"/>
      <c r="H395" s="87"/>
      <c r="I395" s="182"/>
      <c r="J395" s="246"/>
      <c r="M395" s="87"/>
      <c r="N395" s="191"/>
      <c r="O395" s="191"/>
      <c r="P395" s="191"/>
      <c r="T395" s="85"/>
      <c r="U395" s="85"/>
      <c r="V395" s="85"/>
      <c r="W395" s="85"/>
      <c r="X395" s="85"/>
      <c r="Y395" s="85"/>
      <c r="Z395" s="85"/>
      <c r="AA395" s="85"/>
      <c r="AB395" s="85"/>
      <c r="AC395" s="85"/>
      <c r="AD395" s="85"/>
      <c r="AE395" s="85"/>
      <c r="AF395" s="85"/>
      <c r="AG395" s="85"/>
      <c r="AH395" s="85"/>
      <c r="AI395" s="85"/>
      <c r="AJ395" s="85"/>
      <c r="AK395" s="85"/>
      <c r="AL395" s="85"/>
      <c r="AM395" s="85"/>
      <c r="AN395" s="85"/>
      <c r="AO395" s="85"/>
      <c r="AP395" s="85"/>
      <c r="AQ395" s="85"/>
      <c r="AR395" s="85"/>
      <c r="AS395" s="85"/>
      <c r="AT395" s="85"/>
      <c r="AU395" s="85"/>
      <c r="AV395" s="85"/>
      <c r="AW395" s="85"/>
      <c r="AX395" s="85"/>
      <c r="AY395" s="85"/>
      <c r="AZ395" s="85"/>
      <c r="BA395" s="85"/>
      <c r="BB395" s="85"/>
      <c r="BC395" s="85"/>
      <c r="BD395" s="85"/>
      <c r="BE395" s="85"/>
      <c r="BF395" s="85"/>
      <c r="BG395" s="85"/>
      <c r="BH395" s="85"/>
      <c r="BI395" s="85"/>
      <c r="BJ395" s="85"/>
      <c r="BK395" s="85"/>
      <c r="BL395" s="85"/>
      <c r="BM395" s="85"/>
      <c r="BN395" s="85"/>
      <c r="BO395" s="85"/>
      <c r="BP395" s="85"/>
      <c r="BQ395" s="85"/>
      <c r="BR395" s="85"/>
      <c r="BS395" s="85"/>
      <c r="BT395" s="85"/>
      <c r="BU395" s="85"/>
      <c r="BV395" s="85"/>
      <c r="BW395" s="85"/>
      <c r="BX395" s="85"/>
      <c r="BY395" s="85"/>
      <c r="BZ395" s="85"/>
      <c r="CA395" s="85"/>
      <c r="CB395" s="85"/>
      <c r="CC395" s="85"/>
      <c r="CD395" s="85"/>
      <c r="CE395" s="85"/>
      <c r="CF395" s="85"/>
      <c r="CG395" s="85"/>
      <c r="CH395" s="85"/>
    </row>
    <row r="396" spans="2:86" x14ac:dyDescent="0.3">
      <c r="B396" s="96"/>
      <c r="C396" s="96"/>
      <c r="D396" s="96"/>
      <c r="E396" s="96"/>
      <c r="F396" s="96"/>
      <c r="H396" s="87"/>
      <c r="I396" s="182"/>
      <c r="J396" s="246"/>
      <c r="M396" s="87"/>
      <c r="N396" s="191"/>
      <c r="O396" s="191"/>
      <c r="P396" s="191"/>
      <c r="T396" s="85"/>
      <c r="U396" s="85"/>
      <c r="V396" s="85"/>
      <c r="W396" s="85"/>
      <c r="X396" s="85"/>
      <c r="Y396" s="85"/>
      <c r="Z396" s="85"/>
      <c r="AA396" s="85"/>
      <c r="AB396" s="85"/>
      <c r="AC396" s="85"/>
      <c r="AD396" s="85"/>
      <c r="AE396" s="85"/>
      <c r="AF396" s="85"/>
      <c r="AG396" s="85"/>
      <c r="AH396" s="85"/>
      <c r="AI396" s="85"/>
      <c r="AJ396" s="85"/>
      <c r="AK396" s="85"/>
      <c r="AL396" s="85"/>
      <c r="AM396" s="85"/>
      <c r="AN396" s="85"/>
      <c r="AO396" s="85"/>
      <c r="AP396" s="85"/>
      <c r="AQ396" s="85"/>
      <c r="AR396" s="85"/>
      <c r="AS396" s="85"/>
      <c r="AT396" s="85"/>
      <c r="AU396" s="85"/>
      <c r="AV396" s="85"/>
      <c r="AW396" s="85"/>
      <c r="AX396" s="85"/>
      <c r="AY396" s="85"/>
      <c r="AZ396" s="85"/>
      <c r="BA396" s="85"/>
      <c r="BB396" s="85"/>
      <c r="BC396" s="85"/>
      <c r="BD396" s="85"/>
      <c r="BE396" s="85"/>
      <c r="BF396" s="85"/>
      <c r="BG396" s="85"/>
      <c r="BH396" s="85"/>
      <c r="BI396" s="85"/>
      <c r="BJ396" s="85"/>
      <c r="BK396" s="85"/>
      <c r="BL396" s="85"/>
      <c r="BM396" s="85"/>
      <c r="BN396" s="85"/>
      <c r="BO396" s="85"/>
      <c r="BP396" s="85"/>
      <c r="BQ396" s="85"/>
      <c r="BR396" s="85"/>
      <c r="BS396" s="85"/>
      <c r="BT396" s="85"/>
      <c r="BU396" s="85"/>
      <c r="BV396" s="85"/>
      <c r="BW396" s="85"/>
      <c r="BX396" s="85"/>
      <c r="BY396" s="85"/>
      <c r="BZ396" s="85"/>
      <c r="CA396" s="85"/>
      <c r="CB396" s="85"/>
      <c r="CC396" s="85"/>
      <c r="CD396" s="85"/>
      <c r="CE396" s="85"/>
      <c r="CF396" s="85"/>
      <c r="CG396" s="85"/>
      <c r="CH396" s="85"/>
    </row>
    <row r="397" spans="2:86" x14ac:dyDescent="0.3">
      <c r="B397" s="96"/>
      <c r="C397" s="96"/>
      <c r="D397" s="96"/>
      <c r="E397" s="96"/>
      <c r="F397" s="96"/>
      <c r="H397" s="87"/>
      <c r="I397" s="182"/>
      <c r="J397" s="246"/>
      <c r="M397" s="87"/>
      <c r="N397" s="191"/>
      <c r="O397" s="191"/>
      <c r="P397" s="191"/>
      <c r="T397" s="85"/>
      <c r="U397" s="85"/>
      <c r="V397" s="85"/>
      <c r="W397" s="85"/>
      <c r="X397" s="85"/>
      <c r="Y397" s="85"/>
      <c r="Z397" s="85"/>
      <c r="AA397" s="85"/>
      <c r="AB397" s="85"/>
      <c r="AC397" s="85"/>
      <c r="AD397" s="85"/>
      <c r="AE397" s="85"/>
      <c r="AF397" s="85"/>
      <c r="AG397" s="85"/>
      <c r="AH397" s="85"/>
      <c r="AI397" s="85"/>
      <c r="AJ397" s="85"/>
      <c r="AK397" s="85"/>
      <c r="AL397" s="85"/>
      <c r="AM397" s="85"/>
      <c r="AN397" s="85"/>
      <c r="AO397" s="85"/>
      <c r="AP397" s="85"/>
      <c r="AQ397" s="85"/>
      <c r="AR397" s="85"/>
      <c r="AS397" s="85"/>
      <c r="AT397" s="85"/>
      <c r="AU397" s="85"/>
      <c r="AV397" s="85"/>
      <c r="AW397" s="85"/>
      <c r="AX397" s="85"/>
      <c r="AY397" s="85"/>
      <c r="AZ397" s="85"/>
      <c r="BA397" s="85"/>
      <c r="BB397" s="85"/>
      <c r="BC397" s="85"/>
      <c r="BD397" s="85"/>
      <c r="BE397" s="85"/>
      <c r="BF397" s="85"/>
      <c r="BG397" s="85"/>
      <c r="BH397" s="85"/>
      <c r="BI397" s="85"/>
      <c r="BJ397" s="85"/>
      <c r="BK397" s="85"/>
      <c r="BL397" s="85"/>
      <c r="BM397" s="85"/>
      <c r="BN397" s="85"/>
      <c r="BO397" s="85"/>
      <c r="BP397" s="85"/>
      <c r="BQ397" s="85"/>
      <c r="BR397" s="85"/>
      <c r="BS397" s="85"/>
      <c r="BT397" s="85"/>
      <c r="BU397" s="85"/>
      <c r="BV397" s="85"/>
      <c r="BW397" s="85"/>
      <c r="BX397" s="85"/>
      <c r="BY397" s="85"/>
      <c r="BZ397" s="85"/>
      <c r="CA397" s="85"/>
      <c r="CB397" s="85"/>
      <c r="CC397" s="85"/>
      <c r="CD397" s="85"/>
      <c r="CE397" s="85"/>
      <c r="CF397" s="85"/>
      <c r="CG397" s="85"/>
      <c r="CH397" s="85"/>
    </row>
    <row r="398" spans="2:86" x14ac:dyDescent="0.3">
      <c r="B398" s="96"/>
      <c r="C398" s="96"/>
      <c r="D398" s="96"/>
      <c r="E398" s="96"/>
      <c r="F398" s="96"/>
      <c r="H398" s="87"/>
      <c r="I398" s="182"/>
      <c r="J398" s="246"/>
      <c r="M398" s="87"/>
      <c r="N398" s="191"/>
      <c r="O398" s="191"/>
      <c r="P398" s="191"/>
      <c r="T398" s="85"/>
      <c r="U398" s="85"/>
      <c r="V398" s="85"/>
      <c r="W398" s="85"/>
      <c r="X398" s="85"/>
      <c r="Y398" s="85"/>
      <c r="Z398" s="85"/>
      <c r="AA398" s="85"/>
      <c r="AB398" s="85"/>
      <c r="AC398" s="85"/>
      <c r="AD398" s="85"/>
      <c r="AE398" s="85"/>
      <c r="AF398" s="85"/>
      <c r="AG398" s="85"/>
      <c r="AH398" s="85"/>
      <c r="AI398" s="85"/>
      <c r="AJ398" s="85"/>
      <c r="AK398" s="85"/>
      <c r="AL398" s="85"/>
      <c r="AM398" s="85"/>
      <c r="AN398" s="85"/>
      <c r="AO398" s="85"/>
      <c r="AP398" s="85"/>
      <c r="AQ398" s="85"/>
      <c r="AR398" s="85"/>
      <c r="AS398" s="85"/>
      <c r="AT398" s="85"/>
      <c r="AU398" s="85"/>
      <c r="AV398" s="85"/>
      <c r="AW398" s="85"/>
      <c r="AX398" s="85"/>
      <c r="AY398" s="85"/>
      <c r="AZ398" s="85"/>
      <c r="BA398" s="85"/>
      <c r="BB398" s="85"/>
      <c r="BC398" s="85"/>
      <c r="BD398" s="85"/>
      <c r="BE398" s="85"/>
      <c r="BF398" s="85"/>
      <c r="BG398" s="85"/>
      <c r="BH398" s="85"/>
      <c r="BI398" s="85"/>
      <c r="BJ398" s="85"/>
      <c r="BK398" s="85"/>
      <c r="BL398" s="85"/>
      <c r="BM398" s="85"/>
      <c r="BN398" s="85"/>
      <c r="BO398" s="85"/>
      <c r="BP398" s="85"/>
      <c r="BQ398" s="85"/>
      <c r="BR398" s="85"/>
      <c r="BS398" s="85"/>
      <c r="BT398" s="85"/>
      <c r="BU398" s="85"/>
      <c r="BV398" s="85"/>
      <c r="BW398" s="85"/>
      <c r="BX398" s="85"/>
      <c r="BY398" s="85"/>
      <c r="BZ398" s="85"/>
      <c r="CA398" s="85"/>
      <c r="CB398" s="85"/>
      <c r="CC398" s="85"/>
      <c r="CD398" s="85"/>
      <c r="CE398" s="85"/>
      <c r="CF398" s="85"/>
      <c r="CG398" s="85"/>
      <c r="CH398" s="85"/>
    </row>
    <row r="399" spans="2:86" x14ac:dyDescent="0.3">
      <c r="B399" s="96"/>
      <c r="C399" s="96"/>
      <c r="D399" s="96"/>
      <c r="E399" s="96"/>
      <c r="F399" s="96"/>
      <c r="H399" s="87"/>
      <c r="I399" s="182"/>
      <c r="J399" s="246"/>
      <c r="M399" s="87"/>
      <c r="N399" s="191"/>
      <c r="O399" s="191"/>
      <c r="P399" s="191"/>
      <c r="T399" s="85"/>
      <c r="U399" s="85"/>
      <c r="V399" s="85"/>
      <c r="W399" s="85"/>
      <c r="X399" s="85"/>
      <c r="Y399" s="85"/>
      <c r="Z399" s="85"/>
      <c r="AA399" s="85"/>
      <c r="AB399" s="85"/>
      <c r="AC399" s="85"/>
      <c r="AD399" s="85"/>
      <c r="AE399" s="85"/>
      <c r="AF399" s="85"/>
      <c r="AG399" s="85"/>
      <c r="AH399" s="85"/>
      <c r="AI399" s="85"/>
      <c r="AJ399" s="85"/>
      <c r="AK399" s="85"/>
      <c r="AL399" s="85"/>
      <c r="AM399" s="85"/>
      <c r="AN399" s="85"/>
      <c r="AO399" s="85"/>
      <c r="AP399" s="85"/>
      <c r="AQ399" s="85"/>
      <c r="AR399" s="85"/>
      <c r="AS399" s="85"/>
      <c r="AT399" s="85"/>
      <c r="AU399" s="85"/>
      <c r="AV399" s="85"/>
      <c r="AW399" s="85"/>
      <c r="AX399" s="85"/>
      <c r="AY399" s="85"/>
      <c r="AZ399" s="85"/>
      <c r="BA399" s="85"/>
      <c r="BB399" s="85"/>
      <c r="BC399" s="85"/>
      <c r="BD399" s="85"/>
      <c r="BE399" s="85"/>
      <c r="BF399" s="85"/>
      <c r="BG399" s="85"/>
      <c r="BH399" s="85"/>
      <c r="BI399" s="85"/>
      <c r="BJ399" s="85"/>
      <c r="BK399" s="85"/>
      <c r="BL399" s="85"/>
      <c r="BM399" s="85"/>
      <c r="BN399" s="85"/>
      <c r="BO399" s="85"/>
      <c r="BP399" s="85"/>
      <c r="BQ399" s="85"/>
      <c r="BR399" s="85"/>
      <c r="BS399" s="85"/>
      <c r="BT399" s="85"/>
      <c r="BU399" s="85"/>
      <c r="BV399" s="85"/>
      <c r="BW399" s="85"/>
      <c r="BX399" s="85"/>
      <c r="BY399" s="85"/>
      <c r="BZ399" s="85"/>
      <c r="CA399" s="85"/>
      <c r="CB399" s="85"/>
      <c r="CC399" s="85"/>
      <c r="CD399" s="85"/>
      <c r="CE399" s="85"/>
      <c r="CF399" s="85"/>
      <c r="CG399" s="85"/>
      <c r="CH399" s="85"/>
    </row>
    <row r="400" spans="2:86" x14ac:dyDescent="0.3">
      <c r="B400" s="96"/>
      <c r="C400" s="96"/>
      <c r="D400" s="96"/>
      <c r="E400" s="96"/>
      <c r="F400" s="96"/>
      <c r="H400" s="87"/>
      <c r="I400" s="182"/>
      <c r="J400" s="246"/>
      <c r="M400" s="87"/>
      <c r="N400" s="191"/>
      <c r="O400" s="191"/>
      <c r="P400" s="191"/>
      <c r="T400" s="85"/>
      <c r="U400" s="85"/>
      <c r="V400" s="85"/>
      <c r="W400" s="85"/>
      <c r="X400" s="85"/>
      <c r="Y400" s="85"/>
      <c r="Z400" s="85"/>
      <c r="AA400" s="85"/>
      <c r="AB400" s="85"/>
      <c r="AC400" s="85"/>
      <c r="AD400" s="85"/>
      <c r="AE400" s="85"/>
      <c r="AF400" s="85"/>
      <c r="AG400" s="85"/>
      <c r="AH400" s="85"/>
      <c r="AI400" s="85"/>
      <c r="AJ400" s="85"/>
      <c r="AK400" s="85"/>
      <c r="AL400" s="85"/>
      <c r="AM400" s="85"/>
      <c r="AN400" s="85"/>
      <c r="AO400" s="85"/>
      <c r="AP400" s="85"/>
      <c r="AQ400" s="85"/>
      <c r="AR400" s="85"/>
      <c r="AS400" s="85"/>
      <c r="AT400" s="85"/>
      <c r="AU400" s="85"/>
      <c r="AV400" s="85"/>
      <c r="AW400" s="85"/>
      <c r="AX400" s="85"/>
      <c r="AY400" s="85"/>
      <c r="AZ400" s="85"/>
      <c r="BA400" s="85"/>
      <c r="BB400" s="85"/>
      <c r="BC400" s="85"/>
      <c r="BD400" s="85"/>
      <c r="BE400" s="85"/>
      <c r="BF400" s="85"/>
      <c r="BG400" s="85"/>
      <c r="BH400" s="85"/>
      <c r="BI400" s="85"/>
      <c r="BJ400" s="85"/>
      <c r="BK400" s="85"/>
      <c r="BL400" s="85"/>
      <c r="BM400" s="85"/>
      <c r="BN400" s="85"/>
      <c r="BO400" s="85"/>
      <c r="BP400" s="85"/>
      <c r="BQ400" s="85"/>
      <c r="BR400" s="85"/>
      <c r="BS400" s="85"/>
      <c r="BT400" s="85"/>
      <c r="BU400" s="85"/>
      <c r="BV400" s="85"/>
      <c r="BW400" s="85"/>
      <c r="BX400" s="85"/>
      <c r="BY400" s="85"/>
      <c r="BZ400" s="85"/>
      <c r="CA400" s="85"/>
      <c r="CB400" s="85"/>
      <c r="CC400" s="85"/>
      <c r="CD400" s="85"/>
      <c r="CE400" s="85"/>
      <c r="CF400" s="85"/>
      <c r="CG400" s="85"/>
      <c r="CH400" s="85"/>
    </row>
    <row r="401" spans="2:86" x14ac:dyDescent="0.3">
      <c r="B401" s="96"/>
      <c r="C401" s="96"/>
      <c r="D401" s="96"/>
      <c r="E401" s="96"/>
      <c r="F401" s="96"/>
      <c r="H401" s="87"/>
      <c r="I401" s="182"/>
      <c r="J401" s="246"/>
      <c r="M401" s="87"/>
      <c r="N401" s="191"/>
      <c r="O401" s="191"/>
      <c r="P401" s="191"/>
      <c r="T401" s="85"/>
      <c r="U401" s="85"/>
      <c r="V401" s="85"/>
      <c r="W401" s="85"/>
      <c r="X401" s="85"/>
      <c r="Y401" s="85"/>
      <c r="Z401" s="85"/>
      <c r="AA401" s="85"/>
      <c r="AB401" s="85"/>
      <c r="AC401" s="85"/>
      <c r="AD401" s="85"/>
      <c r="AE401" s="85"/>
      <c r="AF401" s="85"/>
      <c r="AG401" s="85"/>
      <c r="AH401" s="85"/>
      <c r="AI401" s="85"/>
      <c r="AJ401" s="85"/>
      <c r="AK401" s="85"/>
      <c r="AL401" s="85"/>
      <c r="AM401" s="85"/>
      <c r="AN401" s="85"/>
      <c r="AO401" s="85"/>
      <c r="AP401" s="85"/>
      <c r="AQ401" s="85"/>
      <c r="AR401" s="85"/>
      <c r="AS401" s="85"/>
      <c r="AT401" s="85"/>
      <c r="AU401" s="85"/>
      <c r="AV401" s="85"/>
      <c r="AW401" s="85"/>
      <c r="AX401" s="85"/>
      <c r="AY401" s="85"/>
      <c r="AZ401" s="85"/>
      <c r="BA401" s="85"/>
      <c r="BB401" s="85"/>
      <c r="BC401" s="85"/>
      <c r="BD401" s="85"/>
      <c r="BE401" s="85"/>
      <c r="BF401" s="85"/>
      <c r="BG401" s="85"/>
      <c r="BH401" s="85"/>
      <c r="BI401" s="85"/>
      <c r="BJ401" s="85"/>
      <c r="BK401" s="85"/>
      <c r="BL401" s="85"/>
      <c r="BM401" s="85"/>
      <c r="BN401" s="85"/>
      <c r="BO401" s="85"/>
      <c r="BP401" s="85"/>
      <c r="BQ401" s="85"/>
      <c r="BR401" s="85"/>
      <c r="BS401" s="85"/>
      <c r="BT401" s="85"/>
      <c r="BU401" s="85"/>
      <c r="BV401" s="85"/>
      <c r="BW401" s="85"/>
      <c r="BX401" s="85"/>
      <c r="BY401" s="85"/>
      <c r="BZ401" s="85"/>
      <c r="CA401" s="85"/>
      <c r="CB401" s="85"/>
      <c r="CC401" s="85"/>
      <c r="CD401" s="85"/>
      <c r="CE401" s="85"/>
      <c r="CF401" s="85"/>
      <c r="CG401" s="85"/>
      <c r="CH401" s="85"/>
    </row>
    <row r="402" spans="2:86" x14ac:dyDescent="0.3">
      <c r="B402" s="96"/>
      <c r="C402" s="96"/>
      <c r="D402" s="96"/>
      <c r="E402" s="96"/>
      <c r="F402" s="96"/>
      <c r="H402" s="87"/>
      <c r="I402" s="182"/>
      <c r="J402" s="246"/>
      <c r="M402" s="87"/>
      <c r="N402" s="191"/>
      <c r="O402" s="191"/>
      <c r="P402" s="191"/>
      <c r="T402" s="85"/>
      <c r="U402" s="85"/>
      <c r="V402" s="85"/>
      <c r="W402" s="85"/>
      <c r="X402" s="85"/>
      <c r="Y402" s="85"/>
      <c r="Z402" s="85"/>
      <c r="AA402" s="85"/>
      <c r="AB402" s="85"/>
      <c r="AC402" s="85"/>
      <c r="AD402" s="85"/>
      <c r="AE402" s="85"/>
      <c r="AF402" s="85"/>
      <c r="AG402" s="85"/>
      <c r="AH402" s="85"/>
      <c r="AI402" s="85"/>
      <c r="AJ402" s="85"/>
      <c r="AK402" s="85"/>
      <c r="AL402" s="85"/>
      <c r="AM402" s="85"/>
      <c r="AN402" s="85"/>
      <c r="AO402" s="85"/>
      <c r="AP402" s="85"/>
      <c r="AQ402" s="85"/>
      <c r="AR402" s="85"/>
      <c r="AS402" s="85"/>
      <c r="AT402" s="85"/>
      <c r="AU402" s="85"/>
      <c r="AV402" s="85"/>
      <c r="AW402" s="85"/>
      <c r="AX402" s="85"/>
      <c r="AY402" s="85"/>
      <c r="AZ402" s="85"/>
      <c r="BA402" s="85"/>
      <c r="BB402" s="85"/>
      <c r="BC402" s="85"/>
      <c r="BD402" s="85"/>
      <c r="BE402" s="85"/>
      <c r="BF402" s="85"/>
      <c r="BG402" s="85"/>
      <c r="BH402" s="85"/>
      <c r="BI402" s="85"/>
      <c r="BJ402" s="85"/>
      <c r="BK402" s="85"/>
      <c r="BL402" s="85"/>
      <c r="BM402" s="85"/>
      <c r="BN402" s="85"/>
      <c r="BO402" s="85"/>
      <c r="BP402" s="85"/>
      <c r="BQ402" s="85"/>
      <c r="BR402" s="85"/>
      <c r="BS402" s="85"/>
      <c r="BT402" s="85"/>
      <c r="BU402" s="85"/>
      <c r="BV402" s="85"/>
      <c r="BW402" s="85"/>
      <c r="BX402" s="85"/>
      <c r="BY402" s="85"/>
      <c r="BZ402" s="85"/>
      <c r="CA402" s="85"/>
      <c r="CB402" s="85"/>
      <c r="CC402" s="85"/>
      <c r="CD402" s="85"/>
      <c r="CE402" s="85"/>
      <c r="CF402" s="85"/>
      <c r="CG402" s="85"/>
      <c r="CH402" s="85"/>
    </row>
    <row r="403" spans="2:86" x14ac:dyDescent="0.3">
      <c r="B403" s="96"/>
      <c r="C403" s="96"/>
      <c r="D403" s="96"/>
      <c r="E403" s="96"/>
      <c r="F403" s="96"/>
      <c r="H403" s="87"/>
      <c r="I403" s="182"/>
      <c r="J403" s="246"/>
      <c r="M403" s="87"/>
      <c r="N403" s="191"/>
      <c r="O403" s="191"/>
      <c r="P403" s="191"/>
      <c r="T403" s="85"/>
      <c r="U403" s="85"/>
      <c r="V403" s="85"/>
      <c r="W403" s="85"/>
      <c r="X403" s="85"/>
      <c r="Y403" s="85"/>
      <c r="Z403" s="85"/>
      <c r="AA403" s="85"/>
      <c r="AB403" s="85"/>
      <c r="AC403" s="85"/>
      <c r="AD403" s="85"/>
      <c r="AE403" s="85"/>
      <c r="AF403" s="85"/>
      <c r="AG403" s="85"/>
      <c r="AH403" s="85"/>
      <c r="AI403" s="85"/>
      <c r="AJ403" s="85"/>
      <c r="AK403" s="85"/>
      <c r="AL403" s="85"/>
      <c r="AM403" s="85"/>
      <c r="AN403" s="85"/>
      <c r="AO403" s="85"/>
      <c r="AP403" s="85"/>
      <c r="AQ403" s="85"/>
      <c r="AR403" s="85"/>
      <c r="AS403" s="85"/>
      <c r="AT403" s="85"/>
      <c r="AU403" s="85"/>
      <c r="AV403" s="85"/>
      <c r="AW403" s="85"/>
      <c r="AX403" s="85"/>
      <c r="AY403" s="85"/>
      <c r="AZ403" s="85"/>
      <c r="BA403" s="85"/>
      <c r="BB403" s="85"/>
      <c r="BC403" s="85"/>
      <c r="BD403" s="85"/>
      <c r="BE403" s="85"/>
      <c r="BF403" s="85"/>
      <c r="BG403" s="85"/>
      <c r="BH403" s="85"/>
      <c r="BI403" s="85"/>
      <c r="BJ403" s="85"/>
      <c r="BK403" s="85"/>
      <c r="BL403" s="85"/>
      <c r="BM403" s="85"/>
      <c r="BN403" s="85"/>
      <c r="BO403" s="85"/>
      <c r="BP403" s="85"/>
      <c r="BQ403" s="85"/>
      <c r="BR403" s="85"/>
      <c r="BS403" s="85"/>
      <c r="BT403" s="85"/>
      <c r="BU403" s="85"/>
      <c r="BV403" s="85"/>
      <c r="BW403" s="85"/>
      <c r="BX403" s="85"/>
      <c r="BY403" s="85"/>
      <c r="BZ403" s="85"/>
      <c r="CA403" s="85"/>
      <c r="CB403" s="85"/>
      <c r="CC403" s="85"/>
      <c r="CD403" s="85"/>
      <c r="CE403" s="85"/>
      <c r="CF403" s="85"/>
      <c r="CG403" s="85"/>
      <c r="CH403" s="85"/>
    </row>
    <row r="404" spans="2:86" x14ac:dyDescent="0.3">
      <c r="B404" s="96"/>
      <c r="C404" s="96"/>
      <c r="D404" s="96"/>
      <c r="E404" s="96"/>
      <c r="F404" s="96"/>
      <c r="H404" s="87"/>
      <c r="I404" s="182"/>
      <c r="J404" s="246"/>
      <c r="M404" s="87"/>
      <c r="N404" s="191"/>
      <c r="O404" s="191"/>
      <c r="P404" s="191"/>
      <c r="T404" s="85"/>
      <c r="U404" s="85"/>
      <c r="V404" s="85"/>
      <c r="W404" s="85"/>
      <c r="X404" s="85"/>
      <c r="Y404" s="85"/>
      <c r="Z404" s="85"/>
      <c r="AA404" s="85"/>
      <c r="AB404" s="85"/>
      <c r="AC404" s="85"/>
      <c r="AD404" s="85"/>
      <c r="AE404" s="85"/>
      <c r="AF404" s="85"/>
      <c r="AG404" s="85"/>
      <c r="AH404" s="85"/>
      <c r="AI404" s="85"/>
      <c r="AJ404" s="85"/>
      <c r="AK404" s="85"/>
      <c r="AL404" s="85"/>
      <c r="AM404" s="85"/>
      <c r="AN404" s="85"/>
      <c r="AO404" s="85"/>
      <c r="AP404" s="85"/>
      <c r="AQ404" s="85"/>
      <c r="AR404" s="85"/>
      <c r="AS404" s="85"/>
      <c r="AT404" s="85"/>
      <c r="AU404" s="85"/>
      <c r="AV404" s="85"/>
      <c r="AW404" s="85"/>
      <c r="AX404" s="85"/>
      <c r="AY404" s="85"/>
      <c r="AZ404" s="85"/>
      <c r="BA404" s="85"/>
      <c r="BB404" s="85"/>
      <c r="BC404" s="85"/>
      <c r="BD404" s="85"/>
      <c r="BE404" s="85"/>
      <c r="BF404" s="85"/>
      <c r="BG404" s="85"/>
      <c r="BH404" s="85"/>
      <c r="BI404" s="85"/>
      <c r="BJ404" s="85"/>
      <c r="BK404" s="85"/>
      <c r="BL404" s="85"/>
      <c r="BM404" s="85"/>
      <c r="BN404" s="85"/>
      <c r="BO404" s="85"/>
      <c r="BP404" s="85"/>
      <c r="BQ404" s="85"/>
      <c r="BR404" s="85"/>
      <c r="BS404" s="85"/>
      <c r="BT404" s="85"/>
      <c r="BU404" s="85"/>
      <c r="BV404" s="85"/>
      <c r="BW404" s="85"/>
      <c r="BX404" s="85"/>
      <c r="BY404" s="85"/>
      <c r="BZ404" s="85"/>
      <c r="CA404" s="85"/>
      <c r="CB404" s="85"/>
      <c r="CC404" s="85"/>
      <c r="CD404" s="85"/>
      <c r="CE404" s="85"/>
      <c r="CF404" s="85"/>
      <c r="CG404" s="85"/>
      <c r="CH404" s="85"/>
    </row>
    <row r="405" spans="2:86" x14ac:dyDescent="0.3">
      <c r="B405" s="96"/>
      <c r="C405" s="96"/>
      <c r="F405" s="96"/>
      <c r="H405" s="87"/>
      <c r="I405" s="182"/>
      <c r="J405" s="246"/>
      <c r="M405" s="87"/>
      <c r="N405" s="191"/>
      <c r="O405" s="191"/>
      <c r="P405" s="191"/>
      <c r="T405" s="85"/>
      <c r="U405" s="85"/>
      <c r="V405" s="85"/>
      <c r="W405" s="85"/>
      <c r="X405" s="85"/>
      <c r="Y405" s="85"/>
      <c r="Z405" s="85"/>
      <c r="AA405" s="85"/>
      <c r="AB405" s="85"/>
      <c r="AC405" s="85"/>
      <c r="AD405" s="85"/>
      <c r="AE405" s="85"/>
      <c r="AF405" s="85"/>
      <c r="AG405" s="85"/>
      <c r="AH405" s="85"/>
      <c r="AI405" s="85"/>
      <c r="AJ405" s="85"/>
      <c r="AK405" s="85"/>
      <c r="AL405" s="85"/>
      <c r="AM405" s="85"/>
      <c r="AN405" s="85"/>
      <c r="AO405" s="85"/>
      <c r="AP405" s="85"/>
      <c r="AQ405" s="85"/>
      <c r="AR405" s="85"/>
      <c r="AS405" s="85"/>
      <c r="AT405" s="85"/>
      <c r="AU405" s="85"/>
      <c r="AV405" s="85"/>
      <c r="AW405" s="85"/>
      <c r="AX405" s="85"/>
      <c r="AY405" s="85"/>
      <c r="AZ405" s="85"/>
      <c r="BA405" s="85"/>
      <c r="BB405" s="85"/>
      <c r="BC405" s="85"/>
      <c r="BD405" s="85"/>
      <c r="BE405" s="85"/>
      <c r="BF405" s="85"/>
      <c r="BG405" s="85"/>
      <c r="BH405" s="85"/>
      <c r="BI405" s="85"/>
      <c r="BJ405" s="85"/>
      <c r="BK405" s="85"/>
      <c r="BL405" s="85"/>
      <c r="BM405" s="85"/>
      <c r="BN405" s="85"/>
      <c r="BO405" s="85"/>
      <c r="BP405" s="85"/>
      <c r="BQ405" s="85"/>
      <c r="BR405" s="85"/>
      <c r="BS405" s="85"/>
      <c r="BT405" s="85"/>
      <c r="BU405" s="85"/>
      <c r="BV405" s="85"/>
      <c r="BW405" s="85"/>
      <c r="BX405" s="85"/>
      <c r="BY405" s="85"/>
      <c r="BZ405" s="85"/>
      <c r="CA405" s="85"/>
      <c r="CB405" s="85"/>
      <c r="CC405" s="85"/>
      <c r="CD405" s="85"/>
      <c r="CE405" s="85"/>
      <c r="CF405" s="85"/>
      <c r="CG405" s="85"/>
      <c r="CH405" s="85"/>
    </row>
    <row r="406" spans="2:86" x14ac:dyDescent="0.3">
      <c r="B406" s="96"/>
      <c r="C406" s="96"/>
      <c r="F406" s="96"/>
      <c r="H406" s="87"/>
      <c r="I406" s="182"/>
      <c r="J406" s="246"/>
      <c r="M406" s="87"/>
      <c r="N406" s="191"/>
      <c r="O406" s="191"/>
      <c r="P406" s="191"/>
      <c r="T406" s="85"/>
      <c r="U406" s="85"/>
      <c r="V406" s="85"/>
      <c r="W406" s="85"/>
      <c r="X406" s="85"/>
      <c r="Y406" s="85"/>
      <c r="Z406" s="85"/>
      <c r="AA406" s="85"/>
      <c r="AB406" s="85"/>
      <c r="AC406" s="85"/>
      <c r="AD406" s="85"/>
      <c r="AE406" s="85"/>
      <c r="AF406" s="85"/>
      <c r="AG406" s="85"/>
      <c r="AH406" s="85"/>
      <c r="AI406" s="85"/>
      <c r="AJ406" s="85"/>
      <c r="AK406" s="85"/>
      <c r="AL406" s="85"/>
      <c r="AM406" s="85"/>
      <c r="AN406" s="85"/>
      <c r="AO406" s="85"/>
      <c r="AP406" s="85"/>
      <c r="AQ406" s="85"/>
      <c r="AR406" s="85"/>
      <c r="AS406" s="85"/>
      <c r="AT406" s="85"/>
      <c r="AU406" s="85"/>
      <c r="AV406" s="85"/>
      <c r="AW406" s="85"/>
      <c r="AX406" s="85"/>
      <c r="AY406" s="85"/>
      <c r="AZ406" s="85"/>
      <c r="BA406" s="85"/>
      <c r="BB406" s="85"/>
      <c r="BC406" s="85"/>
      <c r="BD406" s="85"/>
      <c r="BE406" s="85"/>
      <c r="BF406" s="85"/>
      <c r="BG406" s="85"/>
      <c r="BH406" s="85"/>
      <c r="BI406" s="85"/>
      <c r="BJ406" s="85"/>
      <c r="BK406" s="85"/>
      <c r="BL406" s="85"/>
      <c r="BM406" s="85"/>
      <c r="BN406" s="85"/>
      <c r="BO406" s="85"/>
      <c r="BP406" s="85"/>
      <c r="BQ406" s="85"/>
      <c r="BR406" s="85"/>
      <c r="BS406" s="85"/>
      <c r="BT406" s="85"/>
      <c r="BU406" s="85"/>
      <c r="BV406" s="85"/>
      <c r="BW406" s="85"/>
      <c r="BX406" s="85"/>
      <c r="BY406" s="85"/>
      <c r="BZ406" s="85"/>
      <c r="CA406" s="85"/>
      <c r="CB406" s="85"/>
      <c r="CC406" s="85"/>
      <c r="CD406" s="85"/>
      <c r="CE406" s="85"/>
      <c r="CF406" s="85"/>
      <c r="CG406" s="85"/>
      <c r="CH406" s="85"/>
    </row>
    <row r="407" spans="2:86" x14ac:dyDescent="0.3">
      <c r="F407" s="96"/>
      <c r="H407" s="87"/>
      <c r="I407" s="182"/>
      <c r="J407" s="246"/>
      <c r="M407" s="87"/>
      <c r="N407" s="191"/>
      <c r="O407" s="191"/>
      <c r="P407" s="191"/>
      <c r="T407" s="85"/>
      <c r="U407" s="85"/>
      <c r="V407" s="85"/>
      <c r="W407" s="85"/>
      <c r="X407" s="85"/>
      <c r="Y407" s="85"/>
      <c r="Z407" s="85"/>
      <c r="AA407" s="85"/>
      <c r="AB407" s="85"/>
      <c r="AC407" s="85"/>
      <c r="AD407" s="85"/>
      <c r="AE407" s="85"/>
      <c r="AF407" s="85"/>
      <c r="AG407" s="85"/>
      <c r="AH407" s="85"/>
      <c r="AI407" s="85"/>
      <c r="AJ407" s="85"/>
      <c r="AK407" s="85"/>
      <c r="AL407" s="85"/>
      <c r="AM407" s="85"/>
      <c r="AN407" s="85"/>
      <c r="AO407" s="85"/>
      <c r="AP407" s="85"/>
      <c r="AQ407" s="85"/>
      <c r="AR407" s="85"/>
      <c r="AS407" s="85"/>
      <c r="AT407" s="85"/>
      <c r="AU407" s="85"/>
      <c r="AV407" s="85"/>
      <c r="AW407" s="85"/>
      <c r="AX407" s="85"/>
      <c r="AY407" s="85"/>
      <c r="AZ407" s="85"/>
      <c r="BA407" s="85"/>
      <c r="BB407" s="85"/>
      <c r="BC407" s="85"/>
      <c r="BD407" s="85"/>
      <c r="BE407" s="85"/>
      <c r="BF407" s="85"/>
      <c r="BG407" s="85"/>
      <c r="BH407" s="85"/>
      <c r="BI407" s="85"/>
      <c r="BJ407" s="85"/>
      <c r="BK407" s="85"/>
      <c r="BL407" s="85"/>
      <c r="BM407" s="85"/>
      <c r="BN407" s="85"/>
      <c r="BO407" s="85"/>
      <c r="BP407" s="85"/>
      <c r="BQ407" s="85"/>
      <c r="BR407" s="85"/>
      <c r="BS407" s="85"/>
      <c r="BT407" s="85"/>
      <c r="BU407" s="85"/>
      <c r="BV407" s="85"/>
      <c r="BW407" s="85"/>
      <c r="BX407" s="85"/>
      <c r="BY407" s="85"/>
      <c r="BZ407" s="85"/>
      <c r="CA407" s="85"/>
      <c r="CB407" s="85"/>
      <c r="CC407" s="85"/>
      <c r="CD407" s="85"/>
      <c r="CE407" s="85"/>
      <c r="CF407" s="85"/>
      <c r="CG407" s="85"/>
      <c r="CH407" s="85"/>
    </row>
    <row r="408" spans="2:86" x14ac:dyDescent="0.3">
      <c r="H408" s="87"/>
      <c r="I408" s="182"/>
      <c r="J408" s="246"/>
      <c r="M408" s="87"/>
      <c r="N408" s="191"/>
      <c r="O408" s="191"/>
      <c r="P408" s="191"/>
      <c r="T408" s="85"/>
      <c r="U408" s="85"/>
      <c r="V408" s="85"/>
      <c r="W408" s="85"/>
      <c r="X408" s="85"/>
      <c r="Y408" s="85"/>
      <c r="Z408" s="85"/>
      <c r="AA408" s="85"/>
      <c r="AB408" s="85"/>
      <c r="AC408" s="85"/>
      <c r="AD408" s="85"/>
      <c r="AE408" s="85"/>
      <c r="AF408" s="85"/>
      <c r="AG408" s="85"/>
      <c r="AH408" s="85"/>
      <c r="AI408" s="85"/>
      <c r="AJ408" s="85"/>
      <c r="AK408" s="85"/>
      <c r="AL408" s="85"/>
      <c r="AM408" s="85"/>
      <c r="AN408" s="85"/>
      <c r="AO408" s="85"/>
      <c r="AP408" s="85"/>
      <c r="AQ408" s="85"/>
      <c r="AR408" s="85"/>
      <c r="AS408" s="85"/>
      <c r="AT408" s="85"/>
      <c r="AU408" s="85"/>
      <c r="AV408" s="85"/>
      <c r="AW408" s="85"/>
      <c r="AX408" s="85"/>
      <c r="AY408" s="85"/>
      <c r="AZ408" s="85"/>
      <c r="BA408" s="85"/>
      <c r="BB408" s="85"/>
      <c r="BC408" s="85"/>
      <c r="BD408" s="85"/>
      <c r="BE408" s="85"/>
      <c r="BF408" s="85"/>
      <c r="BG408" s="85"/>
      <c r="BH408" s="85"/>
      <c r="BI408" s="85"/>
      <c r="BJ408" s="85"/>
      <c r="BK408" s="85"/>
      <c r="BL408" s="85"/>
      <c r="BM408" s="85"/>
      <c r="BN408" s="85"/>
      <c r="BO408" s="85"/>
      <c r="BP408" s="85"/>
      <c r="BQ408" s="85"/>
      <c r="BR408" s="85"/>
      <c r="BS408" s="85"/>
      <c r="BT408" s="85"/>
      <c r="BU408" s="85"/>
      <c r="BV408" s="85"/>
      <c r="BW408" s="85"/>
      <c r="BX408" s="85"/>
      <c r="BY408" s="85"/>
      <c r="BZ408" s="85"/>
      <c r="CA408" s="85"/>
      <c r="CB408" s="85"/>
      <c r="CC408" s="85"/>
      <c r="CD408" s="85"/>
      <c r="CE408" s="85"/>
      <c r="CF408" s="85"/>
      <c r="CG408" s="85"/>
      <c r="CH408" s="85"/>
    </row>
    <row r="409" spans="2:86" x14ac:dyDescent="0.3">
      <c r="H409" s="87"/>
      <c r="I409" s="182"/>
      <c r="J409" s="246"/>
      <c r="M409" s="87"/>
      <c r="N409" s="191"/>
      <c r="O409" s="191"/>
      <c r="P409" s="191"/>
      <c r="T409" s="85"/>
      <c r="U409" s="85"/>
      <c r="V409" s="85"/>
      <c r="W409" s="85"/>
      <c r="X409" s="85"/>
      <c r="Y409" s="85"/>
      <c r="Z409" s="85"/>
      <c r="AA409" s="85"/>
      <c r="AB409" s="85"/>
      <c r="AC409" s="85"/>
      <c r="AD409" s="85"/>
      <c r="AE409" s="85"/>
      <c r="AF409" s="85"/>
      <c r="AG409" s="85"/>
      <c r="AH409" s="85"/>
      <c r="AI409" s="85"/>
      <c r="AJ409" s="85"/>
      <c r="AK409" s="85"/>
      <c r="AL409" s="85"/>
      <c r="AM409" s="85"/>
      <c r="AN409" s="85"/>
      <c r="AO409" s="85"/>
      <c r="AP409" s="85"/>
      <c r="AQ409" s="85"/>
      <c r="AR409" s="85"/>
      <c r="AS409" s="85"/>
      <c r="AT409" s="85"/>
      <c r="AU409" s="85"/>
      <c r="AV409" s="85"/>
      <c r="AW409" s="85"/>
      <c r="AX409" s="85"/>
      <c r="AY409" s="85"/>
      <c r="AZ409" s="85"/>
      <c r="BA409" s="85"/>
      <c r="BB409" s="85"/>
      <c r="BC409" s="85"/>
      <c r="BD409" s="85"/>
      <c r="BE409" s="85"/>
      <c r="BF409" s="85"/>
      <c r="BG409" s="85"/>
      <c r="BH409" s="85"/>
      <c r="BI409" s="85"/>
      <c r="BJ409" s="85"/>
      <c r="BK409" s="85"/>
      <c r="BL409" s="85"/>
      <c r="BM409" s="85"/>
      <c r="BN409" s="85"/>
      <c r="BO409" s="85"/>
      <c r="BP409" s="85"/>
      <c r="BQ409" s="85"/>
      <c r="BR409" s="85"/>
      <c r="BS409" s="85"/>
      <c r="BT409" s="85"/>
      <c r="BU409" s="85"/>
      <c r="BV409" s="85"/>
      <c r="BW409" s="85"/>
      <c r="BX409" s="85"/>
      <c r="BY409" s="85"/>
      <c r="BZ409" s="85"/>
      <c r="CA409" s="85"/>
      <c r="CB409" s="85"/>
      <c r="CC409" s="85"/>
      <c r="CD409" s="85"/>
      <c r="CE409" s="85"/>
      <c r="CF409" s="85"/>
      <c r="CG409" s="85"/>
      <c r="CH409" s="85"/>
    </row>
    <row r="410" spans="2:86" x14ac:dyDescent="0.3">
      <c r="H410" s="87"/>
      <c r="I410" s="182"/>
      <c r="J410" s="246"/>
      <c r="M410" s="87"/>
      <c r="N410" s="191"/>
      <c r="O410" s="191"/>
      <c r="P410" s="191"/>
      <c r="T410" s="85"/>
      <c r="U410" s="85"/>
      <c r="V410" s="85"/>
      <c r="W410" s="85"/>
      <c r="X410" s="85"/>
      <c r="Y410" s="85"/>
      <c r="Z410" s="85"/>
      <c r="AA410" s="85"/>
      <c r="AB410" s="85"/>
      <c r="AC410" s="85"/>
      <c r="AD410" s="85"/>
      <c r="AE410" s="85"/>
      <c r="AF410" s="85"/>
      <c r="AG410" s="85"/>
      <c r="AH410" s="85"/>
      <c r="AI410" s="85"/>
      <c r="AJ410" s="85"/>
      <c r="AK410" s="85"/>
      <c r="AL410" s="85"/>
      <c r="AM410" s="85"/>
      <c r="AN410" s="85"/>
      <c r="AO410" s="85"/>
      <c r="AP410" s="85"/>
      <c r="AQ410" s="85"/>
      <c r="AR410" s="85"/>
      <c r="AS410" s="85"/>
      <c r="AT410" s="85"/>
      <c r="AU410" s="85"/>
      <c r="AV410" s="85"/>
      <c r="AW410" s="85"/>
      <c r="AX410" s="85"/>
      <c r="AY410" s="85"/>
      <c r="AZ410" s="85"/>
      <c r="BA410" s="85"/>
      <c r="BB410" s="85"/>
      <c r="BC410" s="85"/>
      <c r="BD410" s="85"/>
      <c r="BE410" s="85"/>
      <c r="BF410" s="85"/>
      <c r="BG410" s="85"/>
      <c r="BH410" s="85"/>
      <c r="BI410" s="85"/>
      <c r="BJ410" s="85"/>
      <c r="BK410" s="85"/>
      <c r="BL410" s="85"/>
      <c r="BM410" s="85"/>
      <c r="BN410" s="85"/>
      <c r="BO410" s="85"/>
      <c r="BP410" s="85"/>
      <c r="BQ410" s="85"/>
      <c r="BR410" s="85"/>
      <c r="BS410" s="85"/>
      <c r="BT410" s="85"/>
      <c r="BU410" s="85"/>
      <c r="BV410" s="85"/>
      <c r="BW410" s="85"/>
      <c r="BX410" s="85"/>
      <c r="BY410" s="85"/>
      <c r="BZ410" s="85"/>
      <c r="CA410" s="85"/>
      <c r="CB410" s="85"/>
      <c r="CC410" s="85"/>
      <c r="CD410" s="85"/>
      <c r="CE410" s="85"/>
      <c r="CF410" s="85"/>
      <c r="CG410" s="85"/>
      <c r="CH410" s="85"/>
    </row>
    <row r="411" spans="2:86" x14ac:dyDescent="0.3">
      <c r="H411" s="87"/>
      <c r="I411" s="182"/>
      <c r="J411" s="246"/>
      <c r="M411" s="87"/>
      <c r="N411" s="191"/>
      <c r="O411" s="191"/>
      <c r="P411" s="191"/>
      <c r="T411" s="85"/>
      <c r="U411" s="85"/>
      <c r="V411" s="85"/>
      <c r="W411" s="85"/>
      <c r="X411" s="85"/>
      <c r="Y411" s="85"/>
      <c r="Z411" s="85"/>
      <c r="AA411" s="85"/>
      <c r="AB411" s="85"/>
      <c r="AC411" s="85"/>
      <c r="AD411" s="85"/>
      <c r="AE411" s="85"/>
      <c r="AF411" s="85"/>
      <c r="AG411" s="85"/>
      <c r="AH411" s="85"/>
      <c r="AI411" s="85"/>
      <c r="AJ411" s="85"/>
      <c r="AK411" s="85"/>
      <c r="AL411" s="85"/>
      <c r="AM411" s="85"/>
      <c r="AN411" s="85"/>
      <c r="AO411" s="85"/>
      <c r="AP411" s="85"/>
      <c r="AQ411" s="85"/>
      <c r="AR411" s="85"/>
      <c r="AS411" s="85"/>
      <c r="AT411" s="85"/>
      <c r="AU411" s="85"/>
      <c r="AV411" s="85"/>
      <c r="AW411" s="85"/>
      <c r="AX411" s="85"/>
      <c r="AY411" s="85"/>
      <c r="AZ411" s="85"/>
      <c r="BA411" s="85"/>
      <c r="BB411" s="85"/>
      <c r="BC411" s="85"/>
      <c r="BD411" s="85"/>
      <c r="BE411" s="85"/>
      <c r="BF411" s="85"/>
      <c r="BG411" s="85"/>
      <c r="BH411" s="85"/>
      <c r="BI411" s="85"/>
      <c r="BJ411" s="85"/>
      <c r="BK411" s="85"/>
      <c r="BL411" s="85"/>
      <c r="BM411" s="85"/>
      <c r="BN411" s="85"/>
      <c r="BO411" s="85"/>
      <c r="BP411" s="85"/>
      <c r="BQ411" s="85"/>
      <c r="BR411" s="85"/>
      <c r="BS411" s="85"/>
      <c r="BT411" s="85"/>
      <c r="BU411" s="85"/>
      <c r="BV411" s="85"/>
      <c r="BW411" s="85"/>
      <c r="BX411" s="85"/>
      <c r="BY411" s="85"/>
      <c r="BZ411" s="85"/>
      <c r="CA411" s="85"/>
      <c r="CB411" s="85"/>
      <c r="CC411" s="85"/>
      <c r="CD411" s="85"/>
      <c r="CE411" s="85"/>
      <c r="CF411" s="85"/>
      <c r="CG411" s="85"/>
      <c r="CH411" s="85"/>
    </row>
    <row r="412" spans="2:86" x14ac:dyDescent="0.3">
      <c r="H412" s="87"/>
      <c r="I412" s="182"/>
      <c r="J412" s="246"/>
      <c r="M412" s="87"/>
      <c r="N412" s="191"/>
      <c r="O412" s="191"/>
      <c r="P412" s="191"/>
      <c r="T412" s="85"/>
      <c r="U412" s="85"/>
      <c r="V412" s="85"/>
      <c r="W412" s="85"/>
      <c r="X412" s="85"/>
    </row>
    <row r="413" spans="2:86" x14ac:dyDescent="0.3">
      <c r="H413" s="87"/>
      <c r="I413" s="182"/>
      <c r="J413" s="246"/>
      <c r="M413" s="87"/>
      <c r="N413" s="191"/>
      <c r="O413" s="191"/>
      <c r="P413" s="191"/>
      <c r="T413" s="85"/>
      <c r="U413" s="85"/>
      <c r="V413" s="85"/>
      <c r="W413" s="85"/>
      <c r="X413" s="85"/>
    </row>
    <row r="414" spans="2:86" x14ac:dyDescent="0.3">
      <c r="H414" s="87"/>
      <c r="I414" s="182"/>
      <c r="J414" s="246"/>
      <c r="M414" s="87"/>
      <c r="N414" s="191"/>
      <c r="O414" s="191"/>
      <c r="P414" s="191"/>
      <c r="T414" s="85"/>
      <c r="U414" s="85"/>
      <c r="V414" s="85"/>
      <c r="W414" s="85"/>
      <c r="X414" s="85"/>
    </row>
    <row r="415" spans="2:86" x14ac:dyDescent="0.3">
      <c r="H415" s="87"/>
      <c r="I415" s="182"/>
      <c r="J415" s="246"/>
      <c r="M415" s="87"/>
      <c r="N415" s="191"/>
      <c r="O415" s="191"/>
      <c r="P415" s="191"/>
      <c r="T415" s="85"/>
      <c r="U415" s="85"/>
      <c r="V415" s="85"/>
      <c r="W415" s="85"/>
      <c r="X415" s="85"/>
    </row>
    <row r="416" spans="2:86" x14ac:dyDescent="0.3">
      <c r="H416" s="87"/>
      <c r="I416" s="182"/>
      <c r="J416" s="246"/>
      <c r="M416" s="87"/>
      <c r="N416" s="191"/>
      <c r="O416" s="191"/>
      <c r="P416" s="191"/>
      <c r="T416" s="85"/>
      <c r="U416" s="85"/>
      <c r="V416" s="85"/>
      <c r="W416" s="85"/>
      <c r="X416" s="85"/>
    </row>
    <row r="417" spans="8:24" x14ac:dyDescent="0.3">
      <c r="H417" s="87"/>
      <c r="I417" s="182"/>
      <c r="J417" s="246"/>
      <c r="M417" s="87"/>
      <c r="N417" s="191"/>
      <c r="O417" s="191"/>
      <c r="P417" s="191"/>
      <c r="T417" s="85"/>
      <c r="U417" s="85"/>
      <c r="V417" s="85"/>
      <c r="W417" s="85"/>
      <c r="X417" s="85"/>
    </row>
    <row r="418" spans="8:24" x14ac:dyDescent="0.3">
      <c r="H418" s="87"/>
      <c r="I418" s="182"/>
      <c r="J418" s="246"/>
      <c r="M418" s="87"/>
      <c r="N418" s="191"/>
      <c r="O418" s="191"/>
      <c r="P418" s="191"/>
      <c r="T418" s="85"/>
      <c r="U418" s="85"/>
      <c r="V418" s="85"/>
      <c r="W418" s="85"/>
    </row>
    <row r="419" spans="8:24" x14ac:dyDescent="0.3">
      <c r="H419" s="87"/>
      <c r="I419" s="182"/>
      <c r="J419" s="246"/>
      <c r="M419" s="87"/>
      <c r="N419" s="191"/>
      <c r="O419" s="191"/>
      <c r="P419" s="191"/>
      <c r="T419" s="85"/>
      <c r="U419" s="85"/>
      <c r="V419" s="85"/>
      <c r="W419" s="85"/>
    </row>
    <row r="420" spans="8:24" x14ac:dyDescent="0.3">
      <c r="H420" s="87"/>
      <c r="I420" s="182"/>
      <c r="J420" s="246"/>
      <c r="M420" s="87"/>
      <c r="N420" s="191"/>
      <c r="O420" s="191"/>
      <c r="P420" s="191"/>
      <c r="T420" s="85"/>
      <c r="U420" s="85"/>
      <c r="V420" s="85"/>
      <c r="W420" s="85"/>
    </row>
    <row r="421" spans="8:24" x14ac:dyDescent="0.3">
      <c r="H421" s="87"/>
      <c r="I421" s="182"/>
      <c r="J421" s="246"/>
      <c r="M421" s="87"/>
      <c r="N421" s="191"/>
      <c r="O421" s="191"/>
      <c r="P421" s="191"/>
      <c r="T421" s="85"/>
      <c r="U421" s="85"/>
      <c r="V421" s="85"/>
      <c r="W421" s="85"/>
    </row>
    <row r="422" spans="8:24" x14ac:dyDescent="0.3">
      <c r="H422" s="87"/>
      <c r="I422" s="182"/>
      <c r="J422" s="246"/>
      <c r="M422" s="87"/>
      <c r="N422" s="191"/>
      <c r="O422" s="191"/>
      <c r="P422" s="191"/>
      <c r="T422" s="85"/>
    </row>
    <row r="423" spans="8:24" x14ac:dyDescent="0.3">
      <c r="H423" s="87"/>
      <c r="I423" s="182"/>
      <c r="J423" s="246"/>
      <c r="M423" s="87"/>
      <c r="N423" s="191"/>
      <c r="O423" s="191"/>
      <c r="P423" s="191"/>
      <c r="T423" s="85"/>
    </row>
    <row r="424" spans="8:24" x14ac:dyDescent="0.3">
      <c r="H424" s="87"/>
      <c r="I424" s="182"/>
      <c r="J424" s="246"/>
      <c r="M424" s="87"/>
      <c r="N424" s="191"/>
      <c r="O424" s="191"/>
      <c r="P424" s="191"/>
    </row>
    <row r="425" spans="8:24" x14ac:dyDescent="0.3">
      <c r="H425" s="87"/>
      <c r="I425" s="182"/>
      <c r="J425" s="246"/>
      <c r="M425" s="87"/>
      <c r="N425" s="191"/>
      <c r="O425" s="191"/>
      <c r="P425" s="191"/>
    </row>
    <row r="426" spans="8:24" x14ac:dyDescent="0.3">
      <c r="H426" s="87"/>
      <c r="I426" s="182"/>
      <c r="J426" s="246"/>
      <c r="M426" s="87"/>
      <c r="N426" s="191"/>
      <c r="O426" s="191"/>
      <c r="P426" s="191"/>
    </row>
    <row r="427" spans="8:24" x14ac:dyDescent="0.3">
      <c r="H427" s="87"/>
      <c r="I427" s="182"/>
      <c r="J427" s="246"/>
      <c r="M427" s="87"/>
      <c r="N427" s="191"/>
      <c r="O427" s="191"/>
      <c r="P427" s="191"/>
    </row>
    <row r="428" spans="8:24" x14ac:dyDescent="0.3">
      <c r="H428" s="87"/>
      <c r="I428" s="182"/>
      <c r="J428" s="246"/>
      <c r="M428" s="87"/>
      <c r="N428" s="191"/>
      <c r="O428" s="191"/>
      <c r="P428" s="191"/>
    </row>
    <row r="429" spans="8:24" x14ac:dyDescent="0.3">
      <c r="H429" s="87"/>
      <c r="I429" s="182"/>
      <c r="J429" s="246"/>
      <c r="M429" s="87"/>
      <c r="N429" s="191"/>
      <c r="O429" s="191"/>
      <c r="P429" s="191"/>
    </row>
    <row r="430" spans="8:24" x14ac:dyDescent="0.3">
      <c r="H430" s="87"/>
      <c r="I430" s="182"/>
      <c r="J430" s="246"/>
      <c r="M430" s="87"/>
      <c r="N430" s="191"/>
      <c r="O430" s="191"/>
      <c r="P430" s="191"/>
    </row>
    <row r="431" spans="8:24" x14ac:dyDescent="0.3">
      <c r="H431" s="87"/>
      <c r="I431" s="182"/>
      <c r="J431" s="246"/>
      <c r="M431" s="87"/>
      <c r="N431" s="191"/>
      <c r="O431" s="191"/>
      <c r="P431" s="191"/>
    </row>
    <row r="432" spans="8:24" x14ac:dyDescent="0.3">
      <c r="H432" s="87"/>
      <c r="I432" s="182"/>
      <c r="J432" s="246"/>
      <c r="M432" s="87"/>
      <c r="N432" s="191"/>
      <c r="O432" s="191"/>
      <c r="P432" s="191"/>
    </row>
    <row r="433" spans="8:19" x14ac:dyDescent="0.3">
      <c r="H433" s="87"/>
      <c r="I433" s="182"/>
      <c r="J433" s="246"/>
      <c r="M433" s="87"/>
      <c r="N433" s="191"/>
      <c r="O433" s="191"/>
      <c r="P433" s="191"/>
    </row>
    <row r="434" spans="8:19" x14ac:dyDescent="0.3">
      <c r="H434" s="87"/>
      <c r="I434" s="182"/>
      <c r="J434" s="246"/>
      <c r="M434" s="87"/>
      <c r="N434" s="191"/>
      <c r="O434" s="191"/>
      <c r="P434" s="191"/>
    </row>
    <row r="435" spans="8:19" x14ac:dyDescent="0.3">
      <c r="H435" s="87"/>
      <c r="I435" s="182"/>
      <c r="J435" s="246"/>
      <c r="M435" s="87"/>
      <c r="N435" s="191"/>
      <c r="O435" s="191"/>
      <c r="P435" s="191"/>
      <c r="Q435" s="183"/>
      <c r="R435" s="85"/>
    </row>
    <row r="436" spans="8:19" x14ac:dyDescent="0.3">
      <c r="H436" s="87"/>
      <c r="I436" s="182"/>
      <c r="J436" s="246"/>
      <c r="M436" s="87"/>
      <c r="N436" s="191"/>
      <c r="O436" s="191"/>
      <c r="P436" s="191"/>
      <c r="Q436" s="183"/>
      <c r="R436" s="85"/>
      <c r="S436" s="85"/>
    </row>
    <row r="437" spans="8:19" x14ac:dyDescent="0.3">
      <c r="H437" s="87"/>
      <c r="I437" s="182"/>
      <c r="J437" s="246"/>
      <c r="M437" s="87"/>
      <c r="N437" s="191"/>
      <c r="O437" s="191"/>
      <c r="P437" s="191"/>
      <c r="Q437" s="183"/>
      <c r="R437" s="85"/>
      <c r="S437" s="85"/>
    </row>
    <row r="438" spans="8:19" x14ac:dyDescent="0.3">
      <c r="H438" s="87"/>
      <c r="I438" s="182"/>
      <c r="J438" s="246"/>
      <c r="M438" s="87"/>
      <c r="N438" s="191"/>
      <c r="O438" s="191"/>
      <c r="P438" s="191"/>
      <c r="Q438" s="183"/>
      <c r="R438" s="85"/>
      <c r="S438" s="85"/>
    </row>
    <row r="439" spans="8:19" x14ac:dyDescent="0.3">
      <c r="H439" s="87"/>
      <c r="I439" s="182"/>
      <c r="J439" s="246"/>
      <c r="M439" s="87"/>
      <c r="N439" s="191"/>
      <c r="O439" s="191"/>
      <c r="P439" s="191"/>
      <c r="Q439" s="183"/>
      <c r="R439" s="85"/>
      <c r="S439" s="85"/>
    </row>
    <row r="440" spans="8:19" x14ac:dyDescent="0.3">
      <c r="H440" s="87"/>
      <c r="I440" s="182"/>
      <c r="J440" s="246"/>
      <c r="M440" s="87"/>
      <c r="N440" s="191"/>
      <c r="O440" s="191"/>
      <c r="P440" s="191"/>
      <c r="Q440" s="183"/>
      <c r="R440" s="85"/>
      <c r="S440" s="85"/>
    </row>
    <row r="441" spans="8:19" x14ac:dyDescent="0.3">
      <c r="H441" s="87"/>
      <c r="I441" s="182"/>
      <c r="J441" s="246"/>
      <c r="M441" s="87"/>
      <c r="N441" s="191"/>
      <c r="O441" s="191"/>
      <c r="P441" s="191"/>
      <c r="Q441" s="183"/>
      <c r="R441" s="85"/>
      <c r="S441" s="85"/>
    </row>
    <row r="442" spans="8:19" x14ac:dyDescent="0.3">
      <c r="H442" s="87"/>
      <c r="I442" s="182"/>
      <c r="J442" s="246"/>
      <c r="M442" s="87"/>
      <c r="N442" s="191"/>
      <c r="O442" s="191"/>
      <c r="P442" s="191"/>
      <c r="Q442" s="183"/>
      <c r="R442" s="85"/>
      <c r="S442" s="85"/>
    </row>
    <row r="443" spans="8:19" x14ac:dyDescent="0.3">
      <c r="H443" s="87"/>
      <c r="I443" s="182"/>
      <c r="J443" s="246"/>
      <c r="M443" s="87"/>
      <c r="N443" s="191"/>
      <c r="O443" s="191"/>
      <c r="P443" s="191"/>
      <c r="Q443" s="183"/>
      <c r="R443" s="85"/>
      <c r="S443" s="85"/>
    </row>
    <row r="444" spans="8:19" x14ac:dyDescent="0.3">
      <c r="H444" s="87"/>
      <c r="I444" s="182"/>
      <c r="J444" s="246"/>
      <c r="M444" s="87"/>
      <c r="N444" s="191"/>
      <c r="O444" s="191"/>
      <c r="P444" s="191"/>
      <c r="Q444" s="183"/>
      <c r="R444" s="85"/>
      <c r="S444" s="85"/>
    </row>
    <row r="445" spans="8:19" x14ac:dyDescent="0.3">
      <c r="H445" s="87"/>
      <c r="I445" s="182"/>
      <c r="J445" s="246"/>
      <c r="M445" s="87"/>
      <c r="N445" s="191"/>
      <c r="O445" s="191"/>
      <c r="P445" s="191"/>
      <c r="Q445" s="183"/>
      <c r="R445" s="85"/>
      <c r="S445" s="85"/>
    </row>
    <row r="446" spans="8:19" x14ac:dyDescent="0.3">
      <c r="H446" s="87"/>
      <c r="I446" s="182"/>
      <c r="J446" s="246"/>
      <c r="M446" s="87"/>
      <c r="N446" s="191"/>
      <c r="O446" s="191"/>
      <c r="P446" s="191"/>
      <c r="Q446" s="183"/>
      <c r="R446" s="85"/>
      <c r="S446" s="85"/>
    </row>
    <row r="447" spans="8:19" x14ac:dyDescent="0.3">
      <c r="H447" s="87"/>
      <c r="I447" s="182"/>
      <c r="J447" s="246"/>
      <c r="M447" s="87"/>
      <c r="N447" s="191"/>
      <c r="O447" s="191"/>
      <c r="P447" s="191"/>
      <c r="Q447" s="183"/>
      <c r="R447" s="85"/>
      <c r="S447" s="85"/>
    </row>
    <row r="448" spans="8:19" x14ac:dyDescent="0.3">
      <c r="H448" s="87"/>
      <c r="I448" s="182"/>
      <c r="J448" s="246"/>
      <c r="M448" s="87"/>
      <c r="N448" s="191"/>
      <c r="O448" s="191"/>
      <c r="P448" s="191"/>
      <c r="Q448" s="183"/>
      <c r="R448" s="85"/>
      <c r="S448" s="85"/>
    </row>
    <row r="449" spans="8:19" x14ac:dyDescent="0.3">
      <c r="H449" s="87"/>
      <c r="I449" s="182"/>
      <c r="J449" s="246"/>
      <c r="M449" s="87"/>
      <c r="N449" s="191"/>
      <c r="O449" s="191"/>
      <c r="P449" s="191"/>
      <c r="Q449" s="183"/>
      <c r="R449" s="85"/>
      <c r="S449" s="85"/>
    </row>
    <row r="450" spans="8:19" x14ac:dyDescent="0.3">
      <c r="H450" s="87"/>
      <c r="I450" s="182"/>
      <c r="J450" s="246"/>
      <c r="M450" s="87"/>
      <c r="N450" s="191"/>
      <c r="O450" s="191"/>
      <c r="P450" s="191"/>
      <c r="Q450" s="183"/>
      <c r="R450" s="85"/>
      <c r="S450" s="85"/>
    </row>
    <row r="451" spans="8:19" x14ac:dyDescent="0.3">
      <c r="H451" s="87"/>
      <c r="I451" s="182"/>
      <c r="J451" s="246"/>
      <c r="M451" s="87"/>
      <c r="N451" s="191"/>
      <c r="O451" s="191"/>
      <c r="P451" s="191"/>
      <c r="Q451" s="183"/>
      <c r="R451" s="85"/>
      <c r="S451" s="85"/>
    </row>
    <row r="452" spans="8:19" x14ac:dyDescent="0.3">
      <c r="H452" s="87"/>
      <c r="I452" s="182"/>
      <c r="J452" s="246"/>
      <c r="M452" s="87"/>
      <c r="N452" s="191"/>
      <c r="O452" s="191"/>
      <c r="P452" s="191"/>
      <c r="Q452" s="183"/>
      <c r="R452" s="85"/>
      <c r="S452" s="85"/>
    </row>
    <row r="453" spans="8:19" x14ac:dyDescent="0.3">
      <c r="H453" s="87"/>
      <c r="I453" s="182"/>
      <c r="J453" s="246"/>
      <c r="M453" s="87"/>
      <c r="N453" s="191"/>
      <c r="O453" s="191"/>
      <c r="P453" s="191"/>
      <c r="Q453" s="183"/>
      <c r="R453" s="85"/>
      <c r="S453" s="85"/>
    </row>
    <row r="454" spans="8:19" x14ac:dyDescent="0.3">
      <c r="H454" s="87"/>
      <c r="I454" s="182"/>
      <c r="J454" s="246"/>
      <c r="M454" s="87"/>
      <c r="N454" s="191"/>
      <c r="O454" s="191"/>
      <c r="P454" s="191"/>
      <c r="Q454" s="183"/>
      <c r="R454" s="85"/>
      <c r="S454" s="85"/>
    </row>
    <row r="455" spans="8:19" x14ac:dyDescent="0.3">
      <c r="H455" s="87"/>
      <c r="I455" s="182"/>
      <c r="J455" s="246"/>
      <c r="M455" s="87"/>
      <c r="N455" s="191"/>
      <c r="O455" s="191"/>
      <c r="P455" s="191"/>
      <c r="Q455" s="183"/>
      <c r="R455" s="85"/>
      <c r="S455" s="85"/>
    </row>
    <row r="456" spans="8:19" x14ac:dyDescent="0.3">
      <c r="J456" s="247"/>
      <c r="Q456" s="183"/>
      <c r="R456" s="85"/>
      <c r="S456" s="85"/>
    </row>
    <row r="457" spans="8:19" x14ac:dyDescent="0.3">
      <c r="J457" s="247"/>
      <c r="Q457" s="183"/>
      <c r="R457" s="85"/>
      <c r="S457" s="85"/>
    </row>
    <row r="458" spans="8:19" x14ac:dyDescent="0.3">
      <c r="J458" s="247"/>
      <c r="Q458" s="183"/>
      <c r="R458" s="85"/>
      <c r="S458" s="85"/>
    </row>
    <row r="459" spans="8:19" x14ac:dyDescent="0.3">
      <c r="J459" s="247"/>
      <c r="Q459" s="183"/>
      <c r="R459" s="85"/>
      <c r="S459" s="85"/>
    </row>
    <row r="460" spans="8:19" x14ac:dyDescent="0.3">
      <c r="J460" s="247"/>
      <c r="Q460" s="183"/>
      <c r="R460" s="85"/>
      <c r="S460" s="85"/>
    </row>
    <row r="461" spans="8:19" x14ac:dyDescent="0.3">
      <c r="J461" s="247"/>
      <c r="Q461" s="183"/>
      <c r="R461" s="85"/>
      <c r="S461" s="85"/>
    </row>
    <row r="462" spans="8:19" x14ac:dyDescent="0.3">
      <c r="J462" s="247"/>
      <c r="Q462" s="183"/>
      <c r="R462" s="85"/>
      <c r="S462" s="85"/>
    </row>
    <row r="463" spans="8:19" x14ac:dyDescent="0.3">
      <c r="J463" s="247"/>
      <c r="Q463" s="183"/>
      <c r="R463" s="85"/>
      <c r="S463" s="85"/>
    </row>
    <row r="464" spans="8:19" x14ac:dyDescent="0.3">
      <c r="J464" s="247"/>
      <c r="Q464" s="183"/>
      <c r="R464" s="85"/>
      <c r="S464" s="85"/>
    </row>
    <row r="465" spans="8:19" x14ac:dyDescent="0.3">
      <c r="J465" s="247"/>
      <c r="Q465" s="183"/>
      <c r="R465" s="85"/>
      <c r="S465" s="85"/>
    </row>
    <row r="466" spans="8:19" x14ac:dyDescent="0.3">
      <c r="J466" s="247"/>
      <c r="Q466" s="183"/>
      <c r="R466" s="85"/>
      <c r="S466" s="85"/>
    </row>
    <row r="467" spans="8:19" x14ac:dyDescent="0.3">
      <c r="H467" s="85"/>
      <c r="J467" s="247"/>
      <c r="K467" s="85"/>
      <c r="L467" s="85"/>
      <c r="M467" s="85"/>
      <c r="Q467" s="183"/>
      <c r="R467" s="85"/>
      <c r="S467" s="85"/>
    </row>
    <row r="468" spans="8:19" x14ac:dyDescent="0.3">
      <c r="J468" s="247"/>
      <c r="S468" s="85"/>
    </row>
    <row r="469" spans="8:19" x14ac:dyDescent="0.3">
      <c r="J469" s="247"/>
      <c r="S469" s="85"/>
    </row>
    <row r="470" spans="8:19" x14ac:dyDescent="0.3">
      <c r="J470" s="247"/>
      <c r="S470" s="85"/>
    </row>
    <row r="471" spans="8:19" x14ac:dyDescent="0.3">
      <c r="J471" s="247"/>
      <c r="S471" s="85"/>
    </row>
    <row r="472" spans="8:19" x14ac:dyDescent="0.3">
      <c r="S472" s="85"/>
    </row>
    <row r="473" spans="8:19" x14ac:dyDescent="0.3">
      <c r="S473" s="85"/>
    </row>
  </sheetData>
  <sortState xmlns:xlrd2="http://schemas.microsoft.com/office/spreadsheetml/2017/richdata2" ref="S16:U46">
    <sortCondition ref="S16:S46"/>
  </sortState>
  <conditionalFormatting sqref="M11:N27 N3:O5 O4:O176 Q4:Q176">
    <cfRule type="expression" dxfId="45" priority="13">
      <formula>M3&lt;0</formula>
    </cfRule>
  </conditionalFormatting>
  <conditionalFormatting sqref="N7:N10">
    <cfRule type="expression" dxfId="44" priority="12">
      <formula>N7&lt;0</formula>
    </cfRule>
  </conditionalFormatting>
  <conditionalFormatting sqref="M7:M10">
    <cfRule type="expression" dxfId="43" priority="10">
      <formula>M7&lt;0</formula>
    </cfRule>
  </conditionalFormatting>
  <dataValidations count="1">
    <dataValidation type="list" allowBlank="1" showInputMessage="1" showErrorMessage="1" sqref="L3:L176" xr:uid="{00000000-0002-0000-0500-000000000000}">
      <formula1>Category</formula1>
    </dataValidation>
  </dataValidations>
  <printOptions horizontalCentered="1"/>
  <pageMargins left="0.25" right="0.25" top="0.5" bottom="0.5" header="0.3" footer="0.3"/>
  <pageSetup scale="99" fitToHeight="0" orientation="landscape" horizontalDpi="4294967293" r:id="rId1"/>
  <drawing r:id="rId2"/>
  <tableParts count="2">
    <tablePart r:id="rId3"/>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2060"/>
    <pageSetUpPr fitToPage="1"/>
  </sheetPr>
  <dimension ref="A1:DD475"/>
  <sheetViews>
    <sheetView showGridLines="0" showRuler="0" zoomScaleNormal="100" workbookViewId="0">
      <selection activeCell="K54" sqref="K53:K54"/>
    </sheetView>
  </sheetViews>
  <sheetFormatPr defaultColWidth="9.33203125" defaultRowHeight="14.4" x14ac:dyDescent="0.3"/>
  <cols>
    <col min="1" max="1" width="5.44140625" style="85" customWidth="1"/>
    <col min="2" max="2" width="26.44140625" style="85" customWidth="1"/>
    <col min="3" max="5" width="13.33203125" style="85" customWidth="1"/>
    <col min="6" max="6" width="7.44140625" style="85" customWidth="1"/>
    <col min="7" max="7" width="11.6640625" style="89" bestFit="1" customWidth="1"/>
    <col min="8" max="8" width="14.33203125" style="89" customWidth="1"/>
    <col min="9" max="9" width="37.44140625" style="87" customWidth="1"/>
    <col min="10" max="10" width="21" style="89" customWidth="1"/>
    <col min="11" max="11" width="11.88671875" style="89" customWidth="1"/>
    <col min="12" max="12" width="17" style="89" customWidth="1"/>
    <col min="13" max="13" width="11.88671875" style="89" customWidth="1"/>
    <col min="14" max="14" width="13.44140625" style="87" customWidth="1"/>
    <col min="15" max="15" width="31.109375" style="87" bestFit="1" customWidth="1"/>
    <col min="16" max="108" width="9.33203125" style="96"/>
    <col min="109" max="16384" width="9.33203125" style="85"/>
  </cols>
  <sheetData>
    <row r="1" spans="1:108" ht="67.95" customHeight="1" x14ac:dyDescent="0.85">
      <c r="C1" s="288"/>
      <c r="D1" s="288"/>
      <c r="E1" s="288"/>
      <c r="F1" s="288"/>
      <c r="G1" s="287" t="s">
        <v>262</v>
      </c>
      <c r="H1" s="288"/>
      <c r="I1" s="288"/>
      <c r="J1" s="86"/>
      <c r="K1" s="86"/>
      <c r="L1" s="86"/>
      <c r="M1" s="86"/>
      <c r="P1" s="85"/>
      <c r="Q1" s="85"/>
      <c r="R1" s="85"/>
      <c r="S1" s="85"/>
      <c r="T1" s="85"/>
      <c r="U1" s="85"/>
      <c r="V1" s="85"/>
      <c r="W1" s="85"/>
      <c r="X1" s="85"/>
      <c r="Y1" s="85"/>
      <c r="Z1" s="85"/>
      <c r="AA1" s="85"/>
      <c r="AB1" s="85"/>
      <c r="AC1" s="85"/>
      <c r="AD1" s="85"/>
      <c r="AE1" s="85"/>
      <c r="AF1" s="85"/>
      <c r="AG1" s="85"/>
      <c r="AH1" s="85"/>
      <c r="AI1" s="85"/>
      <c r="AJ1" s="85"/>
      <c r="AK1" s="85"/>
      <c r="AL1" s="85"/>
      <c r="AM1" s="85"/>
      <c r="AN1" s="85"/>
      <c r="AO1" s="85"/>
      <c r="AP1" s="85"/>
      <c r="AQ1" s="85"/>
      <c r="AR1" s="85"/>
      <c r="AS1" s="85"/>
      <c r="AT1" s="85"/>
      <c r="AU1" s="85"/>
      <c r="AV1" s="85"/>
      <c r="AW1" s="85"/>
      <c r="AX1" s="85"/>
      <c r="AY1" s="85"/>
      <c r="AZ1" s="85"/>
      <c r="BA1" s="85"/>
      <c r="BB1" s="85"/>
      <c r="BC1" s="85"/>
      <c r="BD1" s="85"/>
      <c r="BE1" s="85"/>
      <c r="BF1" s="85"/>
      <c r="BG1" s="85"/>
      <c r="BH1" s="85"/>
      <c r="BI1" s="85"/>
      <c r="BJ1" s="85"/>
      <c r="BK1" s="85"/>
      <c r="BL1" s="85"/>
      <c r="BM1" s="85"/>
      <c r="BN1" s="85"/>
      <c r="BO1" s="85"/>
      <c r="BP1" s="85"/>
      <c r="BQ1" s="85"/>
      <c r="BR1" s="85"/>
      <c r="BS1" s="85"/>
      <c r="BT1" s="85"/>
      <c r="BU1" s="85"/>
      <c r="BV1" s="85"/>
      <c r="BW1" s="85"/>
      <c r="BX1" s="85"/>
      <c r="BY1" s="85"/>
      <c r="BZ1" s="85"/>
      <c r="CA1" s="85"/>
      <c r="CB1" s="85"/>
      <c r="CC1" s="85"/>
      <c r="CD1" s="85"/>
      <c r="CE1" s="85"/>
      <c r="CF1" s="85"/>
      <c r="CG1" s="85"/>
      <c r="CH1" s="85"/>
      <c r="CI1" s="85"/>
      <c r="CJ1" s="85"/>
      <c r="CK1" s="85"/>
      <c r="CL1" s="85"/>
      <c r="CM1" s="85"/>
      <c r="CN1" s="85"/>
      <c r="CO1" s="85"/>
      <c r="CP1" s="85"/>
      <c r="CQ1" s="85"/>
      <c r="CR1" s="85"/>
      <c r="CS1" s="85"/>
      <c r="CT1" s="85"/>
      <c r="CU1" s="85"/>
      <c r="CV1" s="85"/>
      <c r="CW1" s="85"/>
      <c r="CX1" s="85"/>
      <c r="CY1" s="85"/>
      <c r="CZ1" s="85"/>
      <c r="DA1" s="85"/>
      <c r="DB1" s="85"/>
      <c r="DC1" s="85"/>
      <c r="DD1" s="85"/>
    </row>
    <row r="2" spans="1:108" ht="23.85" customHeight="1" x14ac:dyDescent="0.4">
      <c r="B2" s="88"/>
      <c r="C2" s="88"/>
      <c r="D2" s="88"/>
      <c r="E2" s="88"/>
      <c r="F2" s="88"/>
      <c r="G2" s="170" t="s">
        <v>12</v>
      </c>
      <c r="H2" s="170" t="s">
        <v>1</v>
      </c>
      <c r="I2" s="171" t="s">
        <v>161</v>
      </c>
      <c r="J2" s="170" t="s">
        <v>4</v>
      </c>
      <c r="K2" s="33" t="s">
        <v>21</v>
      </c>
      <c r="L2" s="33" t="s">
        <v>11</v>
      </c>
      <c r="M2" s="33" t="s">
        <v>3</v>
      </c>
      <c r="N2" s="90" t="s">
        <v>352</v>
      </c>
      <c r="O2" s="90" t="s">
        <v>374</v>
      </c>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c r="CA2" s="85"/>
      <c r="CB2" s="85"/>
      <c r="CC2" s="85"/>
      <c r="CD2" s="85"/>
      <c r="CE2" s="85"/>
      <c r="CF2" s="85"/>
      <c r="CG2" s="85"/>
      <c r="CH2" s="85"/>
      <c r="CI2" s="85"/>
      <c r="CJ2" s="85"/>
      <c r="CK2" s="85"/>
      <c r="CL2" s="85"/>
      <c r="CM2" s="85"/>
      <c r="CN2" s="85"/>
      <c r="CO2" s="85"/>
      <c r="CP2" s="85"/>
      <c r="CQ2" s="85"/>
      <c r="CR2" s="85"/>
      <c r="CS2" s="85"/>
      <c r="CT2" s="85"/>
      <c r="CU2" s="85"/>
      <c r="CV2" s="85"/>
      <c r="CW2" s="85"/>
      <c r="CX2" s="85"/>
      <c r="CY2" s="85"/>
      <c r="CZ2" s="85"/>
      <c r="DA2" s="85"/>
      <c r="DB2" s="85"/>
      <c r="DC2" s="85"/>
      <c r="DD2" s="85"/>
    </row>
    <row r="3" spans="1:108" ht="25.95" customHeight="1" x14ac:dyDescent="0.3">
      <c r="B3" s="174" t="str">
        <f>CONCATENATE("Current Balance : "&amp;TEXT(Ckreg14_15[[#Totals],[Balance]],"$#,##0.00"))</f>
        <v>Current Balance : $11,870.47</v>
      </c>
      <c r="C3" s="174"/>
      <c r="D3" s="289">
        <v>42338</v>
      </c>
      <c r="E3" s="174"/>
      <c r="F3" s="174"/>
      <c r="G3" s="54"/>
      <c r="H3" s="55">
        <v>41974</v>
      </c>
      <c r="I3" s="54" t="s">
        <v>5</v>
      </c>
      <c r="J3" s="54" t="s">
        <v>5</v>
      </c>
      <c r="K3" s="56"/>
      <c r="L3" s="76">
        <v>13932.889999999985</v>
      </c>
      <c r="M3" s="58">
        <v>13932.889999999985</v>
      </c>
      <c r="N3" s="73" t="s">
        <v>353</v>
      </c>
      <c r="O3" s="83"/>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row>
    <row r="4" spans="1:108" ht="21" x14ac:dyDescent="0.4">
      <c r="B4" s="88"/>
      <c r="C4" s="88"/>
      <c r="D4" s="88"/>
      <c r="E4" s="88"/>
      <c r="F4" s="88"/>
      <c r="G4" s="168"/>
      <c r="H4" s="55">
        <v>41974</v>
      </c>
      <c r="I4" s="54" t="s">
        <v>159</v>
      </c>
      <c r="J4" s="54" t="s">
        <v>159</v>
      </c>
      <c r="K4" s="76"/>
      <c r="L4" s="56">
        <v>6000</v>
      </c>
      <c r="M4" s="169">
        <f>IF(ISBLANK(Ckreg14_15[[#This Row],[Withdrawal]]),M3+Ckreg14_15[[#This Row],[Deposit]],M3-Ckreg14_15[[#This Row],[Withdrawal]])</f>
        <v>19932.889999999985</v>
      </c>
      <c r="N4" s="73" t="s">
        <v>353</v>
      </c>
      <c r="O4" s="83"/>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c r="CA4" s="85"/>
      <c r="CB4" s="85"/>
      <c r="CC4" s="85"/>
      <c r="CD4" s="85"/>
      <c r="CE4" s="85"/>
      <c r="CF4" s="85"/>
      <c r="CG4" s="85"/>
      <c r="CH4" s="85"/>
      <c r="CI4" s="85"/>
      <c r="CJ4" s="85"/>
      <c r="CK4" s="85"/>
      <c r="CL4" s="85"/>
      <c r="CM4" s="85"/>
      <c r="CN4" s="85"/>
      <c r="CO4" s="85"/>
      <c r="CP4" s="85"/>
      <c r="CQ4" s="85"/>
      <c r="CR4" s="85"/>
      <c r="CS4" s="85"/>
      <c r="CT4" s="85"/>
      <c r="CU4" s="85"/>
      <c r="CV4" s="85"/>
      <c r="CW4" s="85"/>
      <c r="CX4" s="85"/>
      <c r="CY4" s="85"/>
      <c r="CZ4" s="85"/>
      <c r="DA4" s="85"/>
      <c r="DB4" s="85"/>
      <c r="DC4" s="85"/>
      <c r="DD4" s="85"/>
    </row>
    <row r="5" spans="1:108" ht="20.399999999999999" customHeight="1" x14ac:dyDescent="0.4">
      <c r="B5" s="557" t="s">
        <v>18</v>
      </c>
      <c r="C5" s="557"/>
      <c r="D5" s="92"/>
      <c r="E5" s="92"/>
      <c r="F5" s="88"/>
      <c r="G5" s="168"/>
      <c r="H5" s="55">
        <v>41974</v>
      </c>
      <c r="I5" s="54" t="s">
        <v>55</v>
      </c>
      <c r="J5" s="54" t="s">
        <v>55</v>
      </c>
      <c r="K5" s="76">
        <v>2000</v>
      </c>
      <c r="L5" s="76"/>
      <c r="M5" s="169">
        <f>IF(ISBLANK(Ckreg14_15[[#This Row],[Withdrawal]]),M4+Ckreg14_15[[#This Row],[Deposit]],M4-Ckreg14_15[[#This Row],[Withdrawal]])</f>
        <v>17932.889999999985</v>
      </c>
      <c r="N5" s="73" t="s">
        <v>353</v>
      </c>
      <c r="O5" s="83"/>
      <c r="P5" s="85"/>
      <c r="Q5" s="85"/>
      <c r="R5" s="85"/>
      <c r="S5" s="85"/>
      <c r="T5" s="85"/>
      <c r="U5" s="85"/>
      <c r="V5" s="85"/>
      <c r="W5" s="85"/>
      <c r="X5" s="85"/>
      <c r="Y5" s="85"/>
      <c r="Z5" s="85"/>
      <c r="AA5" s="85"/>
      <c r="AB5" s="85"/>
      <c r="AC5" s="85"/>
      <c r="AD5" s="85"/>
      <c r="AE5" s="85"/>
      <c r="AF5" s="85"/>
      <c r="AG5" s="85"/>
      <c r="AH5" s="85"/>
      <c r="AI5" s="85"/>
      <c r="AJ5" s="85"/>
      <c r="AK5" s="85"/>
      <c r="AL5" s="85"/>
      <c r="AM5" s="85"/>
      <c r="AN5" s="85"/>
      <c r="AO5" s="85"/>
      <c r="AP5" s="85"/>
      <c r="AQ5" s="85"/>
      <c r="AR5" s="85"/>
      <c r="AS5" s="85"/>
      <c r="AT5" s="85"/>
      <c r="AU5" s="85"/>
      <c r="AV5" s="85"/>
      <c r="AW5" s="85"/>
      <c r="AX5" s="85"/>
      <c r="AY5" s="85"/>
      <c r="AZ5" s="85"/>
      <c r="BA5" s="85"/>
      <c r="BB5" s="85"/>
      <c r="BC5" s="85"/>
      <c r="BD5" s="85"/>
      <c r="BE5" s="85"/>
      <c r="BF5" s="85"/>
      <c r="BG5" s="85"/>
      <c r="BH5" s="85"/>
      <c r="BI5" s="85"/>
      <c r="BJ5" s="85"/>
      <c r="BK5" s="85"/>
      <c r="BL5" s="85"/>
      <c r="BM5" s="85"/>
      <c r="BN5" s="85"/>
      <c r="BO5" s="85"/>
      <c r="BP5" s="85"/>
      <c r="BQ5" s="85"/>
      <c r="BR5" s="85"/>
      <c r="BS5" s="85"/>
      <c r="BT5" s="85"/>
      <c r="BU5" s="85"/>
      <c r="BV5" s="85"/>
      <c r="BW5" s="85"/>
      <c r="BX5" s="85"/>
      <c r="BY5" s="85"/>
      <c r="BZ5" s="85"/>
      <c r="CA5" s="85"/>
      <c r="CB5" s="85"/>
      <c r="CC5" s="85"/>
      <c r="CD5" s="85"/>
      <c r="CE5" s="85"/>
      <c r="CF5" s="85"/>
      <c r="CG5" s="85"/>
      <c r="CH5" s="85"/>
      <c r="CI5" s="85"/>
      <c r="CJ5" s="85"/>
      <c r="CK5" s="85"/>
      <c r="CL5" s="85"/>
      <c r="CM5" s="85"/>
      <c r="CN5" s="85"/>
      <c r="CO5" s="85"/>
      <c r="CP5" s="85"/>
      <c r="CQ5" s="85"/>
      <c r="CR5" s="85"/>
      <c r="CS5" s="85"/>
      <c r="CT5" s="85"/>
      <c r="CU5" s="85"/>
      <c r="CV5" s="85"/>
      <c r="CW5" s="85"/>
      <c r="CX5" s="85"/>
      <c r="CY5" s="85"/>
      <c r="CZ5" s="85"/>
      <c r="DA5" s="85"/>
      <c r="DB5" s="85"/>
      <c r="DC5" s="85"/>
      <c r="DD5" s="85"/>
    </row>
    <row r="6" spans="1:108" ht="14.4" customHeight="1" x14ac:dyDescent="0.4">
      <c r="B6" s="91" t="s">
        <v>4</v>
      </c>
      <c r="C6" s="93" t="s">
        <v>0</v>
      </c>
      <c r="D6" s="93" t="s">
        <v>75</v>
      </c>
      <c r="E6" s="93" t="s">
        <v>76</v>
      </c>
      <c r="F6" s="88"/>
      <c r="G6" s="168"/>
      <c r="H6" s="55">
        <v>41974</v>
      </c>
      <c r="I6" s="54" t="s">
        <v>56</v>
      </c>
      <c r="J6" s="54" t="s">
        <v>56</v>
      </c>
      <c r="K6" s="76">
        <v>3000</v>
      </c>
      <c r="L6" s="76"/>
      <c r="M6" s="169">
        <f>IF(ISBLANK(Ckreg14_15[[#This Row],[Withdrawal]]),M5+Ckreg14_15[[#This Row],[Deposit]],M5-Ckreg14_15[[#This Row],[Withdrawal]])</f>
        <v>14932.889999999985</v>
      </c>
      <c r="N6" s="73" t="s">
        <v>353</v>
      </c>
      <c r="O6" s="83"/>
      <c r="P6" s="85"/>
      <c r="Q6" s="85"/>
      <c r="R6" s="85"/>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D6" s="85"/>
      <c r="BE6" s="85"/>
      <c r="BF6" s="85"/>
      <c r="BG6" s="85"/>
      <c r="BH6" s="85"/>
      <c r="BI6" s="85"/>
      <c r="BJ6" s="85"/>
      <c r="BK6" s="85"/>
      <c r="BL6" s="85"/>
      <c r="BM6" s="85"/>
      <c r="BN6" s="85"/>
      <c r="BO6" s="85"/>
      <c r="BP6" s="85"/>
      <c r="BQ6" s="85"/>
      <c r="BR6" s="85"/>
      <c r="BS6" s="85"/>
      <c r="BT6" s="85"/>
      <c r="BU6" s="85"/>
      <c r="BV6" s="85"/>
      <c r="BW6" s="85"/>
      <c r="BX6" s="85"/>
      <c r="BY6" s="85"/>
      <c r="BZ6" s="85"/>
      <c r="CA6" s="85"/>
      <c r="CB6" s="85"/>
      <c r="CC6" s="85"/>
      <c r="CD6" s="85"/>
      <c r="CE6" s="85"/>
      <c r="CF6" s="85"/>
      <c r="CG6" s="85"/>
      <c r="CH6" s="85"/>
      <c r="CI6" s="85"/>
      <c r="CJ6" s="85"/>
      <c r="CK6" s="85"/>
      <c r="CL6" s="85"/>
      <c r="CM6" s="85"/>
      <c r="CN6" s="85"/>
      <c r="CO6" s="85"/>
      <c r="CP6" s="85"/>
      <c r="CQ6" s="85"/>
      <c r="CR6" s="85"/>
      <c r="CS6" s="85"/>
      <c r="CT6" s="85"/>
      <c r="CU6" s="85"/>
      <c r="CV6" s="85"/>
      <c r="CW6" s="85"/>
      <c r="CX6" s="85"/>
      <c r="CY6" s="85"/>
      <c r="CZ6" s="85"/>
      <c r="DA6" s="85"/>
      <c r="DB6" s="85"/>
      <c r="DC6" s="85"/>
      <c r="DD6" s="85"/>
    </row>
    <row r="7" spans="1:108" ht="14.4" customHeight="1" x14ac:dyDescent="0.4">
      <c r="B7" s="94" t="s">
        <v>5</v>
      </c>
      <c r="C7" s="146">
        <f>SUMIF(Ckreg14_15[Category],"=" &amp;CategoryTable812[[#This Row],[Category]],Ckreg14_15[Deposit])</f>
        <v>13932.889999999985</v>
      </c>
      <c r="D7" s="95"/>
      <c r="E7" s="95">
        <f>+CategoryTable812[[#This Row],[Total]]-CategoryTable812[[#This Row],[Budget]]</f>
        <v>13932.889999999985</v>
      </c>
      <c r="F7" s="88"/>
      <c r="G7" s="168"/>
      <c r="H7" s="55">
        <v>41974</v>
      </c>
      <c r="I7" s="54" t="s">
        <v>57</v>
      </c>
      <c r="J7" s="54" t="s">
        <v>57</v>
      </c>
      <c r="K7" s="76">
        <v>1000</v>
      </c>
      <c r="L7" s="76"/>
      <c r="M7" s="169">
        <f>IF(ISBLANK(Ckreg14_15[[#This Row],[Withdrawal]]),M6+Ckreg14_15[[#This Row],[Deposit]],M6-Ckreg14_15[[#This Row],[Withdrawal]])</f>
        <v>13932.889999999985</v>
      </c>
      <c r="N7" s="73" t="s">
        <v>353</v>
      </c>
      <c r="O7" s="83"/>
      <c r="P7" s="85"/>
      <c r="Q7" s="85"/>
      <c r="R7" s="85"/>
      <c r="S7" s="85"/>
      <c r="T7" s="85"/>
      <c r="U7" s="85"/>
      <c r="V7" s="85"/>
      <c r="W7" s="85"/>
      <c r="X7" s="85"/>
      <c r="Y7" s="85"/>
      <c r="Z7" s="85"/>
      <c r="AA7" s="85"/>
      <c r="AB7" s="85"/>
      <c r="AC7" s="85"/>
      <c r="AD7" s="85"/>
      <c r="AE7" s="85"/>
      <c r="AF7" s="85"/>
      <c r="AG7" s="85"/>
      <c r="AH7" s="85"/>
      <c r="AI7" s="85"/>
      <c r="AJ7" s="85"/>
      <c r="AK7" s="85"/>
      <c r="AL7" s="85"/>
      <c r="AM7" s="85"/>
      <c r="AN7" s="85"/>
      <c r="AO7" s="85"/>
      <c r="AP7" s="85"/>
      <c r="AQ7" s="85"/>
      <c r="AR7" s="85"/>
      <c r="AS7" s="85"/>
      <c r="AT7" s="85"/>
      <c r="AU7" s="85"/>
      <c r="AV7" s="85"/>
      <c r="AW7" s="85"/>
      <c r="AX7" s="85"/>
      <c r="AY7" s="85"/>
      <c r="AZ7" s="85"/>
      <c r="BA7" s="85"/>
      <c r="BB7" s="85"/>
      <c r="BC7" s="85"/>
      <c r="BD7" s="85"/>
      <c r="BE7" s="85"/>
      <c r="BF7" s="85"/>
      <c r="BG7" s="85"/>
      <c r="BH7" s="85"/>
      <c r="BI7" s="85"/>
      <c r="BJ7" s="85"/>
      <c r="BK7" s="85"/>
      <c r="BL7" s="85"/>
      <c r="BM7" s="85"/>
      <c r="BN7" s="85"/>
      <c r="BO7" s="85"/>
      <c r="BP7" s="85"/>
      <c r="BQ7" s="85"/>
      <c r="BR7" s="85"/>
      <c r="BS7" s="85"/>
      <c r="BT7" s="85"/>
      <c r="BU7" s="85"/>
      <c r="BV7" s="85"/>
      <c r="BW7" s="85"/>
      <c r="BX7" s="85"/>
      <c r="BY7" s="85"/>
      <c r="BZ7" s="85"/>
      <c r="CA7" s="85"/>
      <c r="CB7" s="85"/>
      <c r="CC7" s="85"/>
      <c r="CD7" s="85"/>
      <c r="CE7" s="85"/>
      <c r="CF7" s="85"/>
      <c r="CG7" s="85"/>
      <c r="CH7" s="85"/>
      <c r="CI7" s="85"/>
      <c r="CJ7" s="85"/>
      <c r="CK7" s="85"/>
      <c r="CL7" s="85"/>
      <c r="CM7" s="85"/>
      <c r="CN7" s="85"/>
      <c r="CO7" s="85"/>
      <c r="CP7" s="85"/>
      <c r="CQ7" s="85"/>
      <c r="CR7" s="85"/>
      <c r="CS7" s="85"/>
      <c r="CT7" s="85"/>
      <c r="CU7" s="85"/>
      <c r="CV7" s="85"/>
      <c r="CW7" s="85"/>
      <c r="CX7" s="85"/>
      <c r="CY7" s="85"/>
      <c r="CZ7" s="85"/>
      <c r="DA7" s="85"/>
      <c r="DB7" s="85"/>
      <c r="DC7" s="85"/>
      <c r="DD7" s="85"/>
    </row>
    <row r="8" spans="1:108" ht="14.4" customHeight="1" x14ac:dyDescent="0.4">
      <c r="B8" s="94" t="s">
        <v>159</v>
      </c>
      <c r="C8" s="146">
        <f>SUMIF(Ckreg14_15[Category],"=" &amp;CategoryTable812[[#This Row],[Category]],Ckreg14_15[Deposit])</f>
        <v>6000</v>
      </c>
      <c r="D8" s="95"/>
      <c r="E8" s="95">
        <f>+CategoryTable812[[#This Row],[Total]]-CategoryTable812[[#This Row],[Budget]]</f>
        <v>6000</v>
      </c>
      <c r="F8" s="88"/>
      <c r="G8" s="168">
        <v>3175</v>
      </c>
      <c r="H8" s="55">
        <v>41979</v>
      </c>
      <c r="I8" s="54" t="s">
        <v>84</v>
      </c>
      <c r="J8" s="54" t="s">
        <v>51</v>
      </c>
      <c r="K8" s="58">
        <v>10.36</v>
      </c>
      <c r="L8" s="58"/>
      <c r="M8" s="169">
        <f>IF(ISBLANK(Ckreg14_15[[#This Row],[Withdrawal]]),M7+Ckreg14_15[[#This Row],[Deposit]],M7-Ckreg14_15[[#This Row],[Withdrawal]])</f>
        <v>13922.529999999984</v>
      </c>
      <c r="N8" s="73">
        <v>41981</v>
      </c>
      <c r="O8" s="83"/>
      <c r="P8" s="85"/>
      <c r="Q8" s="85"/>
      <c r="R8" s="85"/>
      <c r="S8" s="85"/>
      <c r="T8" s="85"/>
      <c r="U8" s="85"/>
      <c r="V8" s="85"/>
      <c r="W8" s="85"/>
      <c r="X8" s="85"/>
      <c r="Y8" s="85"/>
      <c r="Z8" s="85"/>
      <c r="AA8" s="85"/>
      <c r="AB8" s="85"/>
      <c r="AC8" s="85"/>
      <c r="AD8" s="85"/>
      <c r="AE8" s="85"/>
      <c r="AF8" s="85"/>
      <c r="AG8" s="85"/>
      <c r="AH8" s="85"/>
      <c r="AI8" s="85"/>
      <c r="AJ8" s="85"/>
      <c r="AK8" s="85"/>
      <c r="AL8" s="85"/>
      <c r="AM8" s="85"/>
      <c r="AN8" s="85"/>
      <c r="AO8" s="85"/>
      <c r="AP8" s="85"/>
      <c r="AQ8" s="85"/>
      <c r="AR8" s="85"/>
      <c r="AS8" s="85"/>
      <c r="AT8" s="85"/>
      <c r="AU8" s="85"/>
      <c r="AV8" s="85"/>
      <c r="AW8" s="85"/>
      <c r="AX8" s="85"/>
      <c r="AY8" s="85"/>
      <c r="AZ8" s="85"/>
      <c r="BA8" s="85"/>
      <c r="BB8" s="85"/>
      <c r="BC8" s="85"/>
      <c r="BD8" s="85"/>
      <c r="BE8" s="85"/>
      <c r="BF8" s="85"/>
      <c r="BG8" s="85"/>
      <c r="BH8" s="85"/>
      <c r="BI8" s="85"/>
      <c r="BJ8" s="85"/>
      <c r="BK8" s="85"/>
      <c r="BL8" s="85"/>
      <c r="BM8" s="85"/>
      <c r="BN8" s="85"/>
      <c r="BO8" s="85"/>
      <c r="BP8" s="85"/>
      <c r="BQ8" s="85"/>
      <c r="BR8" s="85"/>
      <c r="BS8" s="85"/>
      <c r="BT8" s="85"/>
      <c r="BU8" s="85"/>
      <c r="BV8" s="85"/>
      <c r="BW8" s="85"/>
      <c r="BX8" s="85"/>
      <c r="BY8" s="85"/>
      <c r="BZ8" s="85"/>
      <c r="CA8" s="85"/>
      <c r="CB8" s="85"/>
      <c r="CC8" s="85"/>
      <c r="CD8" s="85"/>
      <c r="CE8" s="85"/>
      <c r="CF8" s="85"/>
      <c r="CG8" s="85"/>
      <c r="CH8" s="85"/>
      <c r="CI8" s="85"/>
      <c r="CJ8" s="85"/>
      <c r="CK8" s="85"/>
      <c r="CL8" s="85"/>
      <c r="CM8" s="85"/>
      <c r="CN8" s="85"/>
      <c r="CO8" s="85"/>
      <c r="CP8" s="85"/>
      <c r="CQ8" s="85"/>
      <c r="CR8" s="85"/>
      <c r="CS8" s="85"/>
      <c r="CT8" s="85"/>
      <c r="CU8" s="85"/>
      <c r="CV8" s="85"/>
      <c r="CW8" s="85"/>
      <c r="CX8" s="85"/>
      <c r="CY8" s="85"/>
      <c r="CZ8" s="85"/>
      <c r="DA8" s="85"/>
      <c r="DB8" s="85"/>
      <c r="DC8" s="85"/>
      <c r="DD8" s="85"/>
    </row>
    <row r="9" spans="1:108" ht="14.4" customHeight="1" x14ac:dyDescent="0.4">
      <c r="B9" s="94" t="s">
        <v>32</v>
      </c>
      <c r="C9" s="146">
        <f>SUMIF(Ckreg14_15[Category],"=" &amp;CategoryTable812[[#This Row],[Category]],Ckreg14_15[Deposit])</f>
        <v>1133.2</v>
      </c>
      <c r="D9" s="95"/>
      <c r="E9" s="95">
        <f>+CategoryTable812[[#This Row],[Total]]-CategoryTable812[[#This Row],[Budget]]</f>
        <v>1133.2</v>
      </c>
      <c r="F9" s="88"/>
      <c r="G9" s="77">
        <v>3716</v>
      </c>
      <c r="H9" s="78">
        <v>41979</v>
      </c>
      <c r="I9" s="79" t="s">
        <v>172</v>
      </c>
      <c r="J9" s="79" t="s">
        <v>52</v>
      </c>
      <c r="K9" s="80">
        <v>10.5</v>
      </c>
      <c r="L9" s="80"/>
      <c r="M9" s="169">
        <f>IF(ISBLANK(Ckreg14_15[[#This Row],[Withdrawal]]),M8+Ckreg14_15[[#This Row],[Deposit]],M8-Ckreg14_15[[#This Row],[Withdrawal]])</f>
        <v>13912.029999999984</v>
      </c>
      <c r="N9" s="73">
        <v>41988</v>
      </c>
      <c r="O9" s="83"/>
      <c r="P9" s="85"/>
      <c r="Q9" s="85"/>
      <c r="R9" s="85"/>
      <c r="S9" s="85"/>
      <c r="T9" s="85"/>
      <c r="U9" s="85"/>
      <c r="V9" s="85"/>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85"/>
      <c r="BC9" s="85"/>
      <c r="BD9" s="85"/>
      <c r="BE9" s="85"/>
      <c r="BF9" s="85"/>
      <c r="BG9" s="85"/>
      <c r="BH9" s="85"/>
      <c r="BI9" s="85"/>
      <c r="BJ9" s="85"/>
      <c r="BK9" s="85"/>
      <c r="BL9" s="85"/>
      <c r="BM9" s="85"/>
      <c r="BN9" s="85"/>
      <c r="BO9" s="85"/>
      <c r="BP9" s="85"/>
      <c r="BQ9" s="85"/>
      <c r="BR9" s="85"/>
      <c r="BS9" s="85"/>
      <c r="BT9" s="85"/>
      <c r="BU9" s="85"/>
      <c r="BV9" s="85"/>
      <c r="BW9" s="85"/>
      <c r="BX9" s="85"/>
      <c r="BY9" s="85"/>
      <c r="BZ9" s="85"/>
      <c r="CA9" s="85"/>
      <c r="CB9" s="85"/>
      <c r="CC9" s="85"/>
      <c r="CD9" s="85"/>
      <c r="CE9" s="85"/>
      <c r="CF9" s="85"/>
      <c r="CG9" s="85"/>
      <c r="CH9" s="85"/>
      <c r="CI9" s="85"/>
      <c r="CJ9" s="85"/>
      <c r="CK9" s="85"/>
      <c r="CL9" s="85"/>
      <c r="CM9" s="85"/>
      <c r="CN9" s="85"/>
      <c r="CO9" s="85"/>
      <c r="CP9" s="85"/>
      <c r="CQ9" s="85"/>
      <c r="CR9" s="85"/>
      <c r="CS9" s="85"/>
      <c r="CT9" s="85"/>
      <c r="CU9" s="85"/>
      <c r="CV9" s="85"/>
      <c r="CW9" s="85"/>
      <c r="CX9" s="85"/>
      <c r="CY9" s="85"/>
      <c r="CZ9" s="85"/>
      <c r="DA9" s="85"/>
      <c r="DB9" s="85"/>
      <c r="DC9" s="85"/>
      <c r="DD9" s="85"/>
    </row>
    <row r="10" spans="1:108" ht="14.4" customHeight="1" x14ac:dyDescent="0.4">
      <c r="B10" s="94" t="s">
        <v>33</v>
      </c>
      <c r="C10" s="146">
        <f>SUMIF(Ckreg14_15[Category],"=" &amp;CategoryTable812[[#This Row],[Category]],Ckreg14_15[Deposit])</f>
        <v>936.39</v>
      </c>
      <c r="D10" s="95"/>
      <c r="E10" s="95">
        <f>+CategoryTable812[[#This Row],[Total]]-CategoryTable812[[#This Row],[Budget]]</f>
        <v>936.39</v>
      </c>
      <c r="F10" s="88"/>
      <c r="G10" s="77">
        <v>3176</v>
      </c>
      <c r="H10" s="78">
        <v>41979</v>
      </c>
      <c r="I10" s="79" t="s">
        <v>172</v>
      </c>
      <c r="J10" s="79" t="s">
        <v>264</v>
      </c>
      <c r="K10" s="80">
        <v>12</v>
      </c>
      <c r="L10" s="80"/>
      <c r="M10" s="169">
        <f>IF(ISBLANK(Ckreg14_15[[#This Row],[Withdrawal]]),M9+Ckreg14_15[[#This Row],[Deposit]],M9-Ckreg14_15[[#This Row],[Withdrawal]])</f>
        <v>13900.029999999984</v>
      </c>
      <c r="N10" s="73">
        <v>41988</v>
      </c>
      <c r="O10" s="83"/>
      <c r="P10" s="85"/>
      <c r="Q10" s="85"/>
      <c r="R10" s="85"/>
      <c r="S10" s="85"/>
      <c r="T10" s="85"/>
      <c r="U10" s="85"/>
      <c r="V10" s="85"/>
      <c r="W10" s="85"/>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5"/>
      <c r="CN10" s="85"/>
      <c r="CO10" s="85"/>
      <c r="CP10" s="85"/>
      <c r="CQ10" s="85"/>
      <c r="CR10" s="85"/>
      <c r="CS10" s="85"/>
      <c r="CT10" s="85"/>
      <c r="CU10" s="85"/>
      <c r="CV10" s="85"/>
      <c r="CW10" s="85"/>
      <c r="CX10" s="85"/>
      <c r="CY10" s="85"/>
      <c r="CZ10" s="85"/>
      <c r="DA10" s="85"/>
      <c r="DB10" s="85"/>
      <c r="DC10" s="85"/>
      <c r="DD10" s="85"/>
    </row>
    <row r="11" spans="1:108" ht="14.4" customHeight="1" x14ac:dyDescent="0.4">
      <c r="B11" s="94" t="s">
        <v>34</v>
      </c>
      <c r="C11" s="146">
        <f>-SUMIF(Ckreg14_15[Category],"=" &amp;CategoryTable812[[#This Row],[Category]],Ckreg14_15[Withdrawal])</f>
        <v>-1647.9499999999998</v>
      </c>
      <c r="D11" s="95"/>
      <c r="E11" s="95">
        <f>+CategoryTable812[[#This Row],[Total]]-CategoryTable812[[#This Row],[Budget]]</f>
        <v>-1647.9499999999998</v>
      </c>
      <c r="F11" s="88"/>
      <c r="G11" s="77"/>
      <c r="H11" s="78">
        <v>41979</v>
      </c>
      <c r="I11" s="79" t="s">
        <v>250</v>
      </c>
      <c r="J11" s="79" t="s">
        <v>74</v>
      </c>
      <c r="K11" s="80"/>
      <c r="L11" s="80">
        <v>60</v>
      </c>
      <c r="M11" s="169">
        <f>IF(ISBLANK(Ckreg14_15[[#This Row],[Withdrawal]]),M10+Ckreg14_15[[#This Row],[Deposit]],M10-Ckreg14_15[[#This Row],[Withdrawal]])</f>
        <v>13960.029999999984</v>
      </c>
      <c r="N11" s="73">
        <v>41984</v>
      </c>
      <c r="O11" s="83"/>
      <c r="P11" s="85"/>
      <c r="Q11" s="85"/>
      <c r="R11" s="85"/>
      <c r="S11" s="85"/>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5"/>
      <c r="AX11" s="85"/>
      <c r="AY11" s="85"/>
      <c r="AZ11" s="85"/>
      <c r="BA11" s="85"/>
      <c r="BB11" s="85"/>
      <c r="BC11" s="85"/>
      <c r="BD11" s="85"/>
      <c r="BE11" s="85"/>
      <c r="BF11" s="85"/>
      <c r="BG11" s="85"/>
      <c r="BH11" s="85"/>
      <c r="BI11" s="85"/>
      <c r="BJ11" s="85"/>
      <c r="BK11" s="85"/>
      <c r="BL11" s="85"/>
      <c r="BM11" s="85"/>
      <c r="BN11" s="85"/>
      <c r="BO11" s="85"/>
      <c r="BP11" s="85"/>
      <c r="BQ11" s="85"/>
      <c r="BR11" s="85"/>
      <c r="BS11" s="85"/>
      <c r="BT11" s="85"/>
      <c r="BU11" s="85"/>
      <c r="BV11" s="85"/>
      <c r="BW11" s="85"/>
      <c r="BX11" s="85"/>
      <c r="BY11" s="85"/>
      <c r="BZ11" s="85"/>
      <c r="CA11" s="85"/>
      <c r="CB11" s="85"/>
      <c r="CC11" s="85"/>
      <c r="CD11" s="85"/>
      <c r="CE11" s="85"/>
      <c r="CF11" s="85"/>
      <c r="CG11" s="85"/>
      <c r="CH11" s="85"/>
      <c r="CI11" s="85"/>
      <c r="CJ11" s="85"/>
      <c r="CK11" s="85"/>
      <c r="CL11" s="85"/>
      <c r="CM11" s="85"/>
      <c r="CN11" s="85"/>
      <c r="CO11" s="85"/>
      <c r="CP11" s="85"/>
      <c r="CQ11" s="85"/>
      <c r="CR11" s="85"/>
      <c r="CS11" s="85"/>
      <c r="CT11" s="85"/>
      <c r="CU11" s="85"/>
      <c r="CV11" s="85"/>
      <c r="CW11" s="85"/>
      <c r="CX11" s="85"/>
      <c r="CY11" s="85"/>
      <c r="CZ11" s="85"/>
      <c r="DA11" s="85"/>
      <c r="DB11" s="85"/>
      <c r="DC11" s="85"/>
      <c r="DD11" s="85"/>
    </row>
    <row r="12" spans="1:108" ht="14.4" customHeight="1" x14ac:dyDescent="0.4">
      <c r="B12" s="94" t="s">
        <v>263</v>
      </c>
      <c r="C12" s="146">
        <f>-SUMIF(Ckreg14_15[Category],"=" &amp;CategoryTable812[[#This Row],[Category]],Ckreg14_15[Withdrawal])</f>
        <v>-465.48</v>
      </c>
      <c r="D12" s="95"/>
      <c r="E12" s="95">
        <f>+CategoryTable812[[#This Row],[Total]]-CategoryTable812[[#This Row],[Budget]]</f>
        <v>-465.48</v>
      </c>
      <c r="F12" s="88"/>
      <c r="G12" s="77"/>
      <c r="H12" s="78">
        <v>41979</v>
      </c>
      <c r="I12" s="79" t="s">
        <v>242</v>
      </c>
      <c r="J12" s="79" t="s">
        <v>32</v>
      </c>
      <c r="K12" s="80"/>
      <c r="L12" s="80">
        <v>220</v>
      </c>
      <c r="M12" s="169">
        <f>IF(ISBLANK(Ckreg14_15[[#This Row],[Withdrawal]]),M11+Ckreg14_15[[#This Row],[Deposit]],M11-Ckreg14_15[[#This Row],[Withdrawal]])</f>
        <v>14180.029999999984</v>
      </c>
      <c r="N12" s="73">
        <v>41984</v>
      </c>
      <c r="O12" s="83"/>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5"/>
      <c r="AU12" s="85"/>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5"/>
      <c r="CN12" s="85"/>
      <c r="CO12" s="85"/>
      <c r="CP12" s="85"/>
      <c r="CQ12" s="85"/>
      <c r="CR12" s="85"/>
      <c r="CS12" s="85"/>
      <c r="CT12" s="85"/>
      <c r="CU12" s="85"/>
      <c r="CV12" s="85"/>
      <c r="CW12" s="85"/>
      <c r="CX12" s="85"/>
      <c r="CY12" s="85"/>
      <c r="CZ12" s="85"/>
      <c r="DA12" s="85"/>
      <c r="DB12" s="85"/>
      <c r="DC12" s="85"/>
      <c r="DD12" s="85"/>
    </row>
    <row r="13" spans="1:108" ht="14.4" customHeight="1" x14ac:dyDescent="0.4">
      <c r="B13" s="94" t="s">
        <v>264</v>
      </c>
      <c r="C13" s="146">
        <f>-SUMIF(Ckreg14_15[Category],"=" &amp;CategoryTable812[[#This Row],[Category]],Ckreg14_15[Withdrawal])</f>
        <v>-290.47000000000003</v>
      </c>
      <c r="D13" s="95"/>
      <c r="E13" s="95">
        <f>+CategoryTable812[[#This Row],[Total]]-CategoryTable812[[#This Row],[Budget]]</f>
        <v>-290.47000000000003</v>
      </c>
      <c r="F13" s="88"/>
      <c r="G13" s="79">
        <v>3174</v>
      </c>
      <c r="H13" s="78">
        <v>41985</v>
      </c>
      <c r="I13" s="79" t="s">
        <v>356</v>
      </c>
      <c r="J13" s="79" t="s">
        <v>44</v>
      </c>
      <c r="K13" s="98">
        <v>71.62</v>
      </c>
      <c r="L13" s="98"/>
      <c r="M13" s="169">
        <f>IF(ISBLANK(Ckreg14_15[[#This Row],[Withdrawal]]),M12+Ckreg14_15[[#This Row],[Deposit]],M12-Ckreg14_15[[#This Row],[Withdrawal]])</f>
        <v>14108.409999999983</v>
      </c>
      <c r="N13" s="73">
        <v>41985</v>
      </c>
      <c r="O13" s="84" t="s">
        <v>343</v>
      </c>
      <c r="P13" s="85"/>
      <c r="Q13" s="85"/>
      <c r="R13" s="85"/>
      <c r="S13" s="85"/>
      <c r="T13" s="85"/>
      <c r="U13" s="85"/>
      <c r="V13" s="85"/>
      <c r="W13" s="85"/>
      <c r="X13" s="85"/>
      <c r="Y13" s="85"/>
      <c r="Z13" s="85"/>
      <c r="AA13" s="85"/>
      <c r="AB13" s="85"/>
      <c r="AC13" s="85"/>
      <c r="AD13" s="85"/>
      <c r="AE13" s="85"/>
      <c r="AF13" s="85"/>
      <c r="AG13" s="85"/>
      <c r="AH13" s="85"/>
      <c r="AI13" s="85"/>
      <c r="AJ13" s="85"/>
      <c r="AK13" s="85"/>
      <c r="AL13" s="85"/>
      <c r="AM13" s="85"/>
      <c r="AN13" s="85"/>
      <c r="AO13" s="85"/>
      <c r="AP13" s="85"/>
      <c r="AQ13" s="85"/>
      <c r="AR13" s="85"/>
      <c r="AS13" s="85"/>
      <c r="AT13" s="85"/>
      <c r="AU13" s="85"/>
      <c r="AV13" s="85"/>
      <c r="AW13" s="85"/>
      <c r="AX13" s="85"/>
      <c r="AY13" s="85"/>
      <c r="AZ13" s="85"/>
      <c r="BA13" s="85"/>
      <c r="BB13" s="85"/>
      <c r="BC13" s="85"/>
      <c r="BD13" s="85"/>
      <c r="BE13" s="85"/>
      <c r="BF13" s="85"/>
      <c r="BG13" s="85"/>
      <c r="BH13" s="85"/>
      <c r="BI13" s="85"/>
      <c r="BJ13" s="85"/>
      <c r="BK13" s="85"/>
      <c r="BL13" s="85"/>
      <c r="BM13" s="85"/>
      <c r="BN13" s="85"/>
      <c r="BO13" s="85"/>
      <c r="BP13" s="85"/>
      <c r="BQ13" s="85"/>
      <c r="BR13" s="85"/>
      <c r="BS13" s="85"/>
      <c r="BT13" s="85"/>
      <c r="BU13" s="85"/>
      <c r="BV13" s="85"/>
      <c r="BW13" s="85"/>
      <c r="BX13" s="85"/>
      <c r="BY13" s="85"/>
      <c r="BZ13" s="85"/>
      <c r="CA13" s="85"/>
      <c r="CB13" s="85"/>
      <c r="CC13" s="85"/>
      <c r="CD13" s="85"/>
      <c r="CE13" s="85"/>
      <c r="CF13" s="85"/>
      <c r="CG13" s="85"/>
      <c r="CH13" s="85"/>
      <c r="CI13" s="85"/>
      <c r="CJ13" s="85"/>
      <c r="CK13" s="85"/>
      <c r="CL13" s="85"/>
      <c r="CM13" s="85"/>
      <c r="CN13" s="85"/>
      <c r="CO13" s="85"/>
      <c r="CP13" s="85"/>
      <c r="CQ13" s="85"/>
      <c r="CR13" s="85"/>
      <c r="CS13" s="85"/>
      <c r="CT13" s="85"/>
      <c r="CU13" s="85"/>
      <c r="CV13" s="85"/>
      <c r="CW13" s="85"/>
      <c r="CX13" s="85"/>
      <c r="CY13" s="85"/>
      <c r="CZ13" s="85"/>
      <c r="DA13" s="85"/>
      <c r="DB13" s="85"/>
      <c r="DC13" s="85"/>
      <c r="DD13" s="85"/>
    </row>
    <row r="14" spans="1:108" ht="15" customHeight="1" x14ac:dyDescent="0.3">
      <c r="A14" s="96"/>
      <c r="B14" s="94" t="s">
        <v>36</v>
      </c>
      <c r="C14" s="146">
        <f>-SUMIF(Ckreg14_15[Category],"=" &amp;CategoryTable812[[#This Row],[Category]],Ckreg14_15[Withdrawal])</f>
        <v>-148.78</v>
      </c>
      <c r="D14" s="95"/>
      <c r="E14" s="95">
        <f>+CategoryTable812[[#This Row],[Total]]-CategoryTable812[[#This Row],[Budget]]</f>
        <v>-148.78</v>
      </c>
      <c r="F14" s="91"/>
      <c r="G14" s="79">
        <v>3177</v>
      </c>
      <c r="H14" s="78">
        <v>42002</v>
      </c>
      <c r="I14" s="79" t="s">
        <v>243</v>
      </c>
      <c r="J14" s="79" t="s">
        <v>34</v>
      </c>
      <c r="K14" s="80">
        <v>107.87</v>
      </c>
      <c r="L14" s="80"/>
      <c r="M14" s="169">
        <f>IF(ISBLANK(Ckreg14_15[[#This Row],[Withdrawal]]),M13+Ckreg14_15[[#This Row],[Deposit]],M13-Ckreg14_15[[#This Row],[Withdrawal]])</f>
        <v>14000.539999999983</v>
      </c>
      <c r="N14" s="73">
        <v>42006</v>
      </c>
      <c r="O14" s="83"/>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c r="BC14" s="85"/>
      <c r="BD14" s="85"/>
      <c r="BE14" s="85"/>
      <c r="BF14" s="85"/>
      <c r="BG14" s="85"/>
      <c r="BH14" s="85"/>
      <c r="BI14" s="85"/>
      <c r="BJ14" s="85"/>
      <c r="BK14" s="85"/>
      <c r="BL14" s="85"/>
      <c r="BM14" s="85"/>
      <c r="BN14" s="85"/>
      <c r="BO14" s="85"/>
      <c r="BP14" s="85"/>
      <c r="BQ14" s="85"/>
      <c r="BR14" s="85"/>
      <c r="BS14" s="85"/>
      <c r="BT14" s="85"/>
      <c r="BU14" s="85"/>
      <c r="BV14" s="85"/>
      <c r="BW14" s="85"/>
      <c r="BX14" s="85"/>
      <c r="BY14" s="85"/>
      <c r="BZ14" s="85"/>
      <c r="CA14" s="85"/>
      <c r="CB14" s="85"/>
      <c r="CC14" s="85"/>
      <c r="CD14" s="85"/>
      <c r="CE14" s="85"/>
      <c r="CF14" s="85"/>
      <c r="CG14" s="85"/>
      <c r="CH14" s="85"/>
      <c r="CI14" s="85"/>
      <c r="CJ14" s="85"/>
      <c r="CK14" s="85"/>
      <c r="CL14" s="85"/>
      <c r="CM14" s="85"/>
      <c r="CN14" s="85"/>
      <c r="CO14" s="85"/>
      <c r="CP14" s="85"/>
      <c r="CQ14" s="85"/>
      <c r="CR14" s="85"/>
      <c r="CS14" s="85"/>
      <c r="CT14" s="85"/>
      <c r="CU14" s="85"/>
      <c r="CV14" s="85"/>
      <c r="CW14" s="85"/>
      <c r="CX14" s="85"/>
      <c r="CY14" s="85"/>
      <c r="CZ14" s="85"/>
      <c r="DA14" s="85"/>
      <c r="DB14" s="85"/>
      <c r="DC14" s="85"/>
      <c r="DD14" s="85"/>
    </row>
    <row r="15" spans="1:108" x14ac:dyDescent="0.3">
      <c r="A15" s="96"/>
      <c r="B15" s="94" t="s">
        <v>37</v>
      </c>
      <c r="C15" s="146">
        <f>-SUMIF(Ckreg14_15[Category],"=" &amp;CategoryTable812[[#This Row],[Category]],Ckreg14_15[Withdrawal])</f>
        <v>0</v>
      </c>
      <c r="D15" s="95"/>
      <c r="E15" s="95">
        <f>+CategoryTable812[[#This Row],[Total]]-CategoryTable812[[#This Row],[Budget]]</f>
        <v>0</v>
      </c>
      <c r="F15" s="91"/>
      <c r="G15" s="79">
        <v>3178</v>
      </c>
      <c r="H15" s="78">
        <v>42002</v>
      </c>
      <c r="I15" s="79" t="s">
        <v>244</v>
      </c>
      <c r="J15" s="79" t="s">
        <v>34</v>
      </c>
      <c r="K15" s="80">
        <v>75</v>
      </c>
      <c r="L15" s="80"/>
      <c r="M15" s="169">
        <f>IF(ISBLANK(Ckreg14_15[[#This Row],[Withdrawal]]),M14+Ckreg14_15[[#This Row],[Deposit]],M14-Ckreg14_15[[#This Row],[Withdrawal]])</f>
        <v>13925.539999999983</v>
      </c>
      <c r="N15" s="73">
        <v>42004</v>
      </c>
      <c r="O15" s="83"/>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5"/>
      <c r="BK15" s="85"/>
      <c r="BL15" s="85"/>
      <c r="BM15" s="85"/>
      <c r="BN15" s="85"/>
      <c r="BO15" s="85"/>
      <c r="BP15" s="85"/>
      <c r="BQ15" s="85"/>
      <c r="BR15" s="85"/>
      <c r="BS15" s="85"/>
      <c r="BT15" s="85"/>
      <c r="BU15" s="85"/>
      <c r="BV15" s="85"/>
      <c r="BW15" s="85"/>
      <c r="BX15" s="85"/>
      <c r="BY15" s="85"/>
      <c r="BZ15" s="85"/>
      <c r="CA15" s="85"/>
      <c r="CB15" s="85"/>
      <c r="CC15" s="85"/>
      <c r="CD15" s="85"/>
      <c r="CE15" s="85"/>
      <c r="CF15" s="85"/>
      <c r="CG15" s="85"/>
      <c r="CH15" s="85"/>
      <c r="CI15" s="85"/>
      <c r="CJ15" s="85"/>
      <c r="CK15" s="85"/>
      <c r="CL15" s="85"/>
      <c r="CM15" s="85"/>
      <c r="CN15" s="85"/>
      <c r="CO15" s="85"/>
      <c r="CP15" s="85"/>
      <c r="CQ15" s="85"/>
      <c r="CR15" s="85"/>
      <c r="CS15" s="85"/>
      <c r="CT15" s="85"/>
      <c r="CU15" s="85"/>
      <c r="CV15" s="85"/>
      <c r="CW15" s="85"/>
      <c r="CX15" s="85"/>
      <c r="CY15" s="85"/>
      <c r="CZ15" s="85"/>
      <c r="DA15" s="85"/>
      <c r="DB15" s="85"/>
      <c r="DC15" s="85"/>
      <c r="DD15" s="85"/>
    </row>
    <row r="16" spans="1:108" x14ac:dyDescent="0.3">
      <c r="A16" s="96"/>
      <c r="B16" s="94" t="s">
        <v>38</v>
      </c>
      <c r="C16" s="146">
        <f>-SUMIF(Ckreg14_15[Category],"=" &amp;CategoryTable812[[#This Row],[Category]],Ckreg14_15[Withdrawal])</f>
        <v>-90.91</v>
      </c>
      <c r="D16" s="95"/>
      <c r="E16" s="95">
        <f>+CategoryTable812[[#This Row],[Total]]-CategoryTable812[[#This Row],[Budget]]</f>
        <v>-90.91</v>
      </c>
      <c r="F16" s="91"/>
      <c r="G16" s="79">
        <v>3179</v>
      </c>
      <c r="H16" s="78">
        <v>42002</v>
      </c>
      <c r="I16" s="79" t="s">
        <v>245</v>
      </c>
      <c r="J16" s="79" t="s">
        <v>34</v>
      </c>
      <c r="K16" s="80">
        <v>25</v>
      </c>
      <c r="L16" s="80"/>
      <c r="M16" s="169">
        <f>IF(ISBLANK(Ckreg14_15[[#This Row],[Withdrawal]]),M15+Ckreg14_15[[#This Row],[Deposit]],M15-Ckreg14_15[[#This Row],[Withdrawal]])</f>
        <v>13900.539999999983</v>
      </c>
      <c r="N16" s="73">
        <v>42010</v>
      </c>
      <c r="O16" s="83"/>
      <c r="P16" s="85"/>
      <c r="Q16" s="85"/>
      <c r="R16" s="85"/>
      <c r="S16" s="85"/>
      <c r="T16" s="85"/>
      <c r="U16" s="85"/>
      <c r="V16" s="85"/>
      <c r="W16" s="85"/>
      <c r="X16" s="85"/>
      <c r="Y16" s="85"/>
      <c r="Z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5"/>
      <c r="AZ16" s="85"/>
      <c r="BA16" s="85"/>
      <c r="BB16" s="85"/>
      <c r="BC16" s="85"/>
      <c r="BD16" s="85"/>
      <c r="BE16" s="85"/>
      <c r="BF16" s="85"/>
      <c r="BG16" s="85"/>
      <c r="BH16" s="85"/>
      <c r="BI16" s="85"/>
      <c r="BJ16" s="85"/>
      <c r="BK16" s="85"/>
      <c r="BL16" s="85"/>
      <c r="BM16" s="85"/>
      <c r="BN16" s="85"/>
      <c r="BO16" s="85"/>
      <c r="BP16" s="85"/>
      <c r="BQ16" s="85"/>
      <c r="BR16" s="85"/>
      <c r="BS16" s="85"/>
      <c r="BT16" s="85"/>
      <c r="BU16" s="85"/>
      <c r="BV16" s="85"/>
      <c r="BW16" s="85"/>
      <c r="BX16" s="85"/>
      <c r="BY16" s="85"/>
      <c r="BZ16" s="85"/>
      <c r="CA16" s="85"/>
      <c r="CB16" s="85"/>
      <c r="CC16" s="85"/>
      <c r="CD16" s="85"/>
      <c r="CE16" s="85"/>
      <c r="CF16" s="85"/>
      <c r="CG16" s="85"/>
      <c r="CH16" s="85"/>
      <c r="CI16" s="85"/>
      <c r="CJ16" s="85"/>
      <c r="CK16" s="85"/>
      <c r="CL16" s="85"/>
      <c r="CM16" s="85"/>
      <c r="CN16" s="85"/>
      <c r="CO16" s="85"/>
      <c r="CP16" s="85"/>
      <c r="CQ16" s="85"/>
      <c r="CR16" s="85"/>
      <c r="CS16" s="85"/>
      <c r="CT16" s="85"/>
      <c r="CU16" s="85"/>
      <c r="CV16" s="85"/>
      <c r="CW16" s="85"/>
      <c r="CX16" s="85"/>
      <c r="CY16" s="85"/>
      <c r="CZ16" s="85"/>
      <c r="DA16" s="85"/>
      <c r="DB16" s="85"/>
      <c r="DC16" s="85"/>
      <c r="DD16" s="85"/>
    </row>
    <row r="17" spans="1:108" x14ac:dyDescent="0.3">
      <c r="A17" s="96"/>
      <c r="B17" s="94" t="s">
        <v>39</v>
      </c>
      <c r="C17" s="146">
        <f>-SUMIF(Ckreg14_15[Category],"=" &amp;CategoryTable812[[#This Row],[Category]],Ckreg14_15[Withdrawal])</f>
        <v>-238.71</v>
      </c>
      <c r="D17" s="95"/>
      <c r="E17" s="95">
        <f>+CategoryTable812[[#This Row],[Total]]-CategoryTable812[[#This Row],[Budget]]</f>
        <v>-238.71</v>
      </c>
      <c r="F17" s="91"/>
      <c r="G17" s="79">
        <v>3180</v>
      </c>
      <c r="H17" s="78">
        <v>42002</v>
      </c>
      <c r="I17" s="79" t="s">
        <v>136</v>
      </c>
      <c r="J17" s="79" t="s">
        <v>34</v>
      </c>
      <c r="K17" s="80">
        <v>150</v>
      </c>
      <c r="L17" s="80"/>
      <c r="M17" s="169">
        <f>IF(ISBLANK(Ckreg14_15[[#This Row],[Withdrawal]]),M16+Ckreg14_15[[#This Row],[Deposit]],M16-Ckreg14_15[[#This Row],[Withdrawal]])</f>
        <v>13750.539999999983</v>
      </c>
      <c r="N17" s="73">
        <v>42004</v>
      </c>
      <c r="O17" s="83"/>
      <c r="P17" s="85"/>
      <c r="Q17" s="85"/>
      <c r="R17" s="85"/>
      <c r="S17" s="85"/>
      <c r="T17" s="85"/>
      <c r="U17" s="85"/>
      <c r="V17" s="85"/>
      <c r="W17" s="85"/>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c r="BT17" s="85"/>
      <c r="BU17" s="85"/>
      <c r="BV17" s="85"/>
      <c r="BW17" s="85"/>
      <c r="BX17" s="85"/>
      <c r="BY17" s="85"/>
      <c r="BZ17" s="85"/>
      <c r="CA17" s="85"/>
      <c r="CB17" s="85"/>
      <c r="CC17" s="85"/>
      <c r="CD17" s="85"/>
      <c r="CE17" s="85"/>
      <c r="CF17" s="85"/>
      <c r="CG17" s="85"/>
      <c r="CH17" s="85"/>
      <c r="CI17" s="85"/>
      <c r="CJ17" s="85"/>
      <c r="CK17" s="85"/>
      <c r="CL17" s="85"/>
      <c r="CM17" s="85"/>
      <c r="CN17" s="85"/>
      <c r="CO17" s="85"/>
      <c r="CP17" s="85"/>
      <c r="CQ17" s="85"/>
      <c r="CR17" s="85"/>
      <c r="CS17" s="85"/>
      <c r="CT17" s="85"/>
      <c r="CU17" s="85"/>
      <c r="CV17" s="85"/>
      <c r="CW17" s="85"/>
      <c r="CX17" s="85"/>
      <c r="CY17" s="85"/>
      <c r="CZ17" s="85"/>
      <c r="DA17" s="85"/>
      <c r="DB17" s="85"/>
      <c r="DC17" s="85"/>
      <c r="DD17" s="85"/>
    </row>
    <row r="18" spans="1:108" x14ac:dyDescent="0.3">
      <c r="A18" s="96"/>
      <c r="B18" s="94" t="s">
        <v>40</v>
      </c>
      <c r="C18" s="146">
        <f>-SUMIF(Ckreg14_15[Category],"=" &amp;CategoryTable812[[#This Row],[Category]],Ckreg14_15[Withdrawal])</f>
        <v>-25.34</v>
      </c>
      <c r="D18" s="95"/>
      <c r="E18" s="95">
        <f>+CategoryTable812[[#This Row],[Total]]-CategoryTable812[[#This Row],[Budget]]</f>
        <v>-25.34</v>
      </c>
      <c r="F18" s="91"/>
      <c r="G18" s="79"/>
      <c r="H18" s="78">
        <v>42004</v>
      </c>
      <c r="I18" s="81" t="s">
        <v>261</v>
      </c>
      <c r="J18" s="79" t="s">
        <v>91</v>
      </c>
      <c r="K18" s="82"/>
      <c r="L18" s="82">
        <v>0.61</v>
      </c>
      <c r="M18" s="169">
        <f>IF(ISBLANK(Ckreg14_15[[#This Row],[Withdrawal]]),M17+Ckreg14_15[[#This Row],[Deposit]],M17-Ckreg14_15[[#This Row],[Withdrawal]])</f>
        <v>13751.149999999983</v>
      </c>
      <c r="N18" s="73">
        <v>42004</v>
      </c>
      <c r="O18" s="83" t="s">
        <v>343</v>
      </c>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5"/>
      <c r="BA18" s="85"/>
      <c r="BB18" s="85"/>
      <c r="BC18" s="85"/>
      <c r="BD18" s="85"/>
      <c r="BE18" s="85"/>
      <c r="BF18" s="85"/>
      <c r="BG18" s="85"/>
      <c r="BH18" s="85"/>
      <c r="BI18" s="85"/>
      <c r="BJ18" s="85"/>
      <c r="BK18" s="85"/>
      <c r="BL18" s="85"/>
      <c r="BM18" s="85"/>
      <c r="BN18" s="85"/>
      <c r="BO18" s="85"/>
      <c r="BP18" s="85"/>
      <c r="BQ18" s="85"/>
      <c r="BR18" s="85"/>
      <c r="BS18" s="85"/>
      <c r="BT18" s="85"/>
      <c r="BU18" s="85"/>
      <c r="BV18" s="85"/>
      <c r="BW18" s="85"/>
      <c r="BX18" s="85"/>
      <c r="BY18" s="85"/>
      <c r="BZ18" s="85"/>
      <c r="CA18" s="85"/>
      <c r="CB18" s="85"/>
      <c r="CC18" s="85"/>
      <c r="CD18" s="85"/>
      <c r="CE18" s="85"/>
      <c r="CF18" s="85"/>
      <c r="CG18" s="85"/>
      <c r="CH18" s="85"/>
      <c r="CI18" s="85"/>
      <c r="CJ18" s="85"/>
      <c r="CK18" s="85"/>
      <c r="CL18" s="85"/>
      <c r="CM18" s="85"/>
      <c r="CN18" s="85"/>
      <c r="CO18" s="85"/>
      <c r="CP18" s="85"/>
      <c r="CQ18" s="85"/>
      <c r="CR18" s="85"/>
      <c r="CS18" s="85"/>
      <c r="CT18" s="85"/>
      <c r="CU18" s="85"/>
      <c r="CV18" s="85"/>
      <c r="CW18" s="85"/>
      <c r="CX18" s="85"/>
      <c r="CY18" s="85"/>
      <c r="CZ18" s="85"/>
      <c r="DA18" s="85"/>
      <c r="DB18" s="85"/>
      <c r="DC18" s="85"/>
      <c r="DD18" s="85"/>
    </row>
    <row r="19" spans="1:108" x14ac:dyDescent="0.3">
      <c r="A19" s="96"/>
      <c r="B19" s="94" t="s">
        <v>41</v>
      </c>
      <c r="C19" s="146">
        <f>-SUMIF(Ckreg14_15[Category],"=" &amp;CategoryTable812[[#This Row],[Category]],Ckreg14_15[Withdrawal])</f>
        <v>0</v>
      </c>
      <c r="D19" s="95"/>
      <c r="E19" s="95">
        <f>+CategoryTable812[[#This Row],[Total]]-CategoryTable812[[#This Row],[Budget]]</f>
        <v>0</v>
      </c>
      <c r="F19" s="91"/>
      <c r="G19" s="79">
        <v>3181</v>
      </c>
      <c r="H19" s="78">
        <v>42012</v>
      </c>
      <c r="I19" s="79" t="s">
        <v>246</v>
      </c>
      <c r="J19" s="79" t="s">
        <v>44</v>
      </c>
      <c r="K19" s="80">
        <v>154.51</v>
      </c>
      <c r="L19" s="80"/>
      <c r="M19" s="169">
        <f>IF(ISBLANK(Ckreg14_15[[#This Row],[Withdrawal]]),M18+Ckreg14_15[[#This Row],[Deposit]],M18-Ckreg14_15[[#This Row],[Withdrawal]])</f>
        <v>13596.639999999983</v>
      </c>
      <c r="N19" s="73">
        <v>42016</v>
      </c>
      <c r="O19" s="83"/>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5"/>
      <c r="BA19" s="85"/>
      <c r="BB19" s="85"/>
      <c r="BC19" s="85"/>
      <c r="BD19" s="85"/>
      <c r="BE19" s="85"/>
      <c r="BF19" s="85"/>
      <c r="BG19" s="85"/>
      <c r="BH19" s="85"/>
      <c r="BI19" s="85"/>
      <c r="BJ19" s="85"/>
      <c r="BK19" s="85"/>
      <c r="BL19" s="85"/>
      <c r="BM19" s="85"/>
      <c r="BN19" s="85"/>
      <c r="BO19" s="85"/>
      <c r="BP19" s="85"/>
      <c r="BQ19" s="85"/>
      <c r="BR19" s="85"/>
      <c r="BS19" s="85"/>
      <c r="BT19" s="85"/>
      <c r="BU19" s="85"/>
      <c r="BV19" s="85"/>
      <c r="BW19" s="85"/>
      <c r="BX19" s="85"/>
      <c r="BY19" s="85"/>
      <c r="BZ19" s="85"/>
      <c r="CA19" s="85"/>
      <c r="CB19" s="85"/>
      <c r="CC19" s="85"/>
      <c r="CD19" s="85"/>
      <c r="CE19" s="85"/>
      <c r="CF19" s="85"/>
      <c r="CG19" s="85"/>
      <c r="CH19" s="85"/>
      <c r="CI19" s="85"/>
      <c r="CJ19" s="85"/>
      <c r="CK19" s="85"/>
      <c r="CL19" s="85"/>
      <c r="CM19" s="85"/>
      <c r="CN19" s="85"/>
      <c r="CO19" s="85"/>
      <c r="CP19" s="85"/>
      <c r="CQ19" s="85"/>
      <c r="CR19" s="85"/>
      <c r="CS19" s="85"/>
      <c r="CT19" s="85"/>
      <c r="CU19" s="85"/>
      <c r="CV19" s="85"/>
      <c r="CW19" s="85"/>
      <c r="CX19" s="85"/>
      <c r="CY19" s="85"/>
      <c r="CZ19" s="85"/>
      <c r="DA19" s="85"/>
      <c r="DB19" s="85"/>
      <c r="DC19" s="85"/>
      <c r="DD19" s="85"/>
    </row>
    <row r="20" spans="1:108" x14ac:dyDescent="0.3">
      <c r="A20" s="96"/>
      <c r="B20" s="94" t="s">
        <v>42</v>
      </c>
      <c r="C20" s="146">
        <f>-SUMIF(Ckreg14_15[Category],"=" &amp;CategoryTable812[[#This Row],[Category]],Ckreg14_15[Withdrawal])</f>
        <v>0</v>
      </c>
      <c r="D20" s="95"/>
      <c r="E20" s="95">
        <f>+CategoryTable812[[#This Row],[Total]]-CategoryTable812[[#This Row],[Budget]]</f>
        <v>0</v>
      </c>
      <c r="F20" s="91"/>
      <c r="G20" s="79">
        <v>3182</v>
      </c>
      <c r="H20" s="78">
        <v>42012</v>
      </c>
      <c r="I20" s="79" t="s">
        <v>247</v>
      </c>
      <c r="J20" s="79" t="s">
        <v>34</v>
      </c>
      <c r="K20" s="80">
        <v>294.5</v>
      </c>
      <c r="L20" s="80"/>
      <c r="M20" s="169">
        <f>IF(ISBLANK(Ckreg14_15[[#This Row],[Withdrawal]]),M19+Ckreg14_15[[#This Row],[Deposit]],M19-Ckreg14_15[[#This Row],[Withdrawal]])</f>
        <v>13302.139999999983</v>
      </c>
      <c r="N20" s="73">
        <v>42024</v>
      </c>
      <c r="O20" s="83"/>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85"/>
      <c r="BB20" s="85"/>
      <c r="BC20" s="85"/>
      <c r="BD20" s="85"/>
      <c r="BE20" s="85"/>
      <c r="BF20" s="85"/>
      <c r="BG20" s="85"/>
      <c r="BH20" s="85"/>
      <c r="BI20" s="85"/>
      <c r="BJ20" s="85"/>
      <c r="BK20" s="85"/>
      <c r="BL20" s="85"/>
      <c r="BM20" s="85"/>
      <c r="BN20" s="85"/>
      <c r="BO20" s="85"/>
      <c r="BP20" s="85"/>
      <c r="BQ20" s="85"/>
      <c r="BR20" s="85"/>
      <c r="BS20" s="85"/>
      <c r="BT20" s="85"/>
      <c r="BU20" s="85"/>
      <c r="BV20" s="85"/>
      <c r="BW20" s="85"/>
      <c r="BX20" s="85"/>
      <c r="BY20" s="85"/>
      <c r="BZ20" s="85"/>
      <c r="CA20" s="85"/>
      <c r="CB20" s="85"/>
      <c r="CC20" s="85"/>
      <c r="CD20" s="85"/>
      <c r="CE20" s="85"/>
      <c r="CF20" s="85"/>
      <c r="CG20" s="85"/>
      <c r="CH20" s="85"/>
      <c r="CI20" s="85"/>
      <c r="CJ20" s="85"/>
      <c r="CK20" s="85"/>
      <c r="CL20" s="85"/>
      <c r="CM20" s="85"/>
      <c r="CN20" s="85"/>
      <c r="CO20" s="85"/>
      <c r="CP20" s="85"/>
      <c r="CQ20" s="85"/>
      <c r="CR20" s="85"/>
      <c r="CS20" s="85"/>
      <c r="CT20" s="85"/>
      <c r="CU20" s="85"/>
      <c r="CV20" s="85"/>
      <c r="CW20" s="85"/>
      <c r="CX20" s="85"/>
      <c r="CY20" s="85"/>
      <c r="CZ20" s="85"/>
      <c r="DA20" s="85"/>
      <c r="DB20" s="85"/>
      <c r="DC20" s="85"/>
      <c r="DD20" s="85"/>
    </row>
    <row r="21" spans="1:108" x14ac:dyDescent="0.3">
      <c r="A21" s="96"/>
      <c r="B21" s="94" t="s">
        <v>91</v>
      </c>
      <c r="C21" s="146">
        <f>SUMIF(Ckreg14_15[Category],"=" &amp;CategoryTable812[[#This Row],[Category]],Ckreg14_15[Deposit])</f>
        <v>5.25</v>
      </c>
      <c r="D21" s="95"/>
      <c r="E21" s="95">
        <f>+CategoryTable812[[#This Row],[Total]]-CategoryTable812[[#This Row],[Budget]]</f>
        <v>5.25</v>
      </c>
      <c r="F21" s="91"/>
      <c r="G21" s="79">
        <v>3183</v>
      </c>
      <c r="H21" s="78">
        <v>42027</v>
      </c>
      <c r="I21" s="79" t="s">
        <v>248</v>
      </c>
      <c r="J21" s="79" t="s">
        <v>58</v>
      </c>
      <c r="K21" s="80">
        <v>2144.08</v>
      </c>
      <c r="L21" s="80"/>
      <c r="M21" s="169">
        <f>IF(ISBLANK(Ckreg14_15[[#This Row],[Withdrawal]]),M20+Ckreg14_15[[#This Row],[Deposit]],M20-Ckreg14_15[[#This Row],[Withdrawal]])</f>
        <v>11158.059999999983</v>
      </c>
      <c r="N21" s="73">
        <v>42032</v>
      </c>
      <c r="O21" s="83"/>
      <c r="P21" s="85"/>
      <c r="Q21" s="85"/>
      <c r="R21" s="85"/>
      <c r="S21" s="85"/>
      <c r="T21" s="85"/>
      <c r="U21" s="85"/>
      <c r="V21" s="85"/>
      <c r="W21" s="85"/>
      <c r="X21" s="85"/>
      <c r="Y21" s="85"/>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c r="BB21" s="85"/>
      <c r="BC21" s="85"/>
      <c r="BD21" s="85"/>
      <c r="BE21" s="85"/>
      <c r="BF21" s="85"/>
      <c r="BG21" s="85"/>
      <c r="BH21" s="85"/>
      <c r="BI21" s="85"/>
      <c r="BJ21" s="85"/>
      <c r="BK21" s="85"/>
      <c r="BL21" s="85"/>
      <c r="BM21" s="85"/>
      <c r="BN21" s="85"/>
      <c r="BO21" s="85"/>
      <c r="BP21" s="85"/>
      <c r="BQ21" s="85"/>
      <c r="BR21" s="85"/>
      <c r="BS21" s="85"/>
      <c r="BT21" s="85"/>
      <c r="BU21" s="85"/>
      <c r="BV21" s="85"/>
      <c r="BW21" s="85"/>
      <c r="BX21" s="85"/>
      <c r="BY21" s="85"/>
      <c r="BZ21" s="85"/>
      <c r="CA21" s="85"/>
      <c r="CB21" s="85"/>
      <c r="CC21" s="85"/>
      <c r="CD21" s="85"/>
      <c r="CE21" s="85"/>
      <c r="CF21" s="85"/>
      <c r="CG21" s="85"/>
      <c r="CH21" s="85"/>
      <c r="CI21" s="85"/>
      <c r="CJ21" s="85"/>
      <c r="CK21" s="85"/>
      <c r="CL21" s="85"/>
      <c r="CM21" s="85"/>
      <c r="CN21" s="85"/>
      <c r="CO21" s="85"/>
      <c r="CP21" s="85"/>
      <c r="CQ21" s="85"/>
      <c r="CR21" s="85"/>
      <c r="CS21" s="85"/>
      <c r="CT21" s="85"/>
      <c r="CU21" s="85"/>
      <c r="CV21" s="85"/>
      <c r="CW21" s="85"/>
      <c r="CX21" s="85"/>
      <c r="CY21" s="85"/>
      <c r="CZ21" s="85"/>
      <c r="DA21" s="85"/>
      <c r="DB21" s="85"/>
      <c r="DC21" s="85"/>
      <c r="DD21" s="85"/>
    </row>
    <row r="22" spans="1:108" x14ac:dyDescent="0.3">
      <c r="A22" s="96"/>
      <c r="B22" s="94" t="s">
        <v>43</v>
      </c>
      <c r="C22" s="146">
        <f>-SUMIF(Ckreg14_15[Category],"=" &amp;CategoryTable812[[#This Row],[Category]],Ckreg14_15[Withdrawal])</f>
        <v>-400</v>
      </c>
      <c r="D22" s="95"/>
      <c r="E22" s="95">
        <f>+CategoryTable812[[#This Row],[Total]]-CategoryTable812[[#This Row],[Budget]]</f>
        <v>-400</v>
      </c>
      <c r="G22" s="79">
        <v>3184</v>
      </c>
      <c r="H22" s="78">
        <v>42027</v>
      </c>
      <c r="I22" s="79" t="s">
        <v>166</v>
      </c>
      <c r="J22" s="79" t="s">
        <v>59</v>
      </c>
      <c r="K22" s="80">
        <v>1429.38</v>
      </c>
      <c r="L22" s="80"/>
      <c r="M22" s="169">
        <f>IF(ISBLANK(Ckreg14_15[[#This Row],[Withdrawal]]),M21+Ckreg14_15[[#This Row],[Deposit]],M21-Ckreg14_15[[#This Row],[Withdrawal]])</f>
        <v>9728.6799999999821</v>
      </c>
      <c r="N22" s="73">
        <v>42033</v>
      </c>
      <c r="O22" s="83"/>
      <c r="P22" s="85"/>
      <c r="Q22" s="85"/>
      <c r="R22" s="85"/>
      <c r="S22" s="85"/>
      <c r="T22" s="85"/>
      <c r="U22" s="85"/>
      <c r="V22" s="85"/>
      <c r="W22" s="85"/>
      <c r="X22" s="85"/>
      <c r="Y22" s="85"/>
      <c r="Z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c r="BA22" s="85"/>
      <c r="BB22" s="85"/>
      <c r="BC22" s="85"/>
      <c r="BD22" s="85"/>
      <c r="BE22" s="85"/>
      <c r="BF22" s="85"/>
      <c r="BG22" s="85"/>
      <c r="BH22" s="85"/>
      <c r="BI22" s="85"/>
      <c r="BJ22" s="85"/>
      <c r="BK22" s="85"/>
      <c r="BL22" s="85"/>
      <c r="BM22" s="85"/>
      <c r="BN22" s="85"/>
      <c r="BO22" s="85"/>
      <c r="BP22" s="85"/>
      <c r="BQ22" s="85"/>
      <c r="BR22" s="85"/>
      <c r="BS22" s="85"/>
      <c r="BT22" s="85"/>
      <c r="BU22" s="85"/>
      <c r="BV22" s="85"/>
      <c r="BW22" s="85"/>
      <c r="BX22" s="85"/>
      <c r="BY22" s="85"/>
      <c r="BZ22" s="85"/>
      <c r="CA22" s="85"/>
      <c r="CB22" s="85"/>
      <c r="CC22" s="85"/>
      <c r="CD22" s="85"/>
      <c r="CE22" s="85"/>
      <c r="CF22" s="85"/>
      <c r="CG22" s="85"/>
      <c r="CH22" s="85"/>
      <c r="CI22" s="85"/>
      <c r="CJ22" s="85"/>
      <c r="CK22" s="85"/>
      <c r="CL22" s="85"/>
      <c r="CM22" s="85"/>
      <c r="CN22" s="85"/>
      <c r="CO22" s="85"/>
      <c r="CP22" s="85"/>
      <c r="CQ22" s="85"/>
      <c r="CR22" s="85"/>
      <c r="CS22" s="85"/>
      <c r="CT22" s="85"/>
      <c r="CU22" s="85"/>
      <c r="CV22" s="85"/>
      <c r="CW22" s="85"/>
      <c r="CX22" s="85"/>
      <c r="CY22" s="85"/>
      <c r="CZ22" s="85"/>
      <c r="DA22" s="85"/>
      <c r="DB22" s="85"/>
      <c r="DC22" s="85"/>
      <c r="DD22" s="85"/>
    </row>
    <row r="23" spans="1:108" x14ac:dyDescent="0.3">
      <c r="A23" s="96"/>
      <c r="B23" s="94" t="s">
        <v>44</v>
      </c>
      <c r="C23" s="146">
        <f>-SUMIF(Ckreg14_15[Category],"=" &amp;CategoryTable812[[#This Row],[Category]],Ckreg14_15[Withdrawal])</f>
        <v>-1080.67</v>
      </c>
      <c r="D23" s="95"/>
      <c r="E23" s="95">
        <f>+CategoryTable812[[#This Row],[Total]]-CategoryTable812[[#This Row],[Budget]]</f>
        <v>-1080.67</v>
      </c>
      <c r="F23" s="96"/>
      <c r="G23" s="79"/>
      <c r="H23" s="78">
        <v>42027</v>
      </c>
      <c r="I23" s="79" t="s">
        <v>249</v>
      </c>
      <c r="J23" s="79" t="s">
        <v>33</v>
      </c>
      <c r="K23" s="80"/>
      <c r="L23" s="80">
        <v>239.39</v>
      </c>
      <c r="M23" s="169">
        <f>IF(ISBLANK(Ckreg14_15[[#This Row],[Withdrawal]]),M22+Ckreg14_15[[#This Row],[Deposit]],M22-Ckreg14_15[[#This Row],[Withdrawal]])</f>
        <v>9968.0699999999815</v>
      </c>
      <c r="N23" s="73">
        <v>42030</v>
      </c>
      <c r="O23" s="83"/>
      <c r="P23" s="85"/>
      <c r="Q23" s="85"/>
      <c r="R23" s="85"/>
      <c r="S23" s="85"/>
      <c r="T23" s="85"/>
      <c r="U23" s="85"/>
      <c r="V23" s="85"/>
      <c r="W23" s="85"/>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c r="BC23" s="85"/>
      <c r="BD23" s="85"/>
      <c r="BE23" s="85"/>
      <c r="BF23" s="85"/>
      <c r="BG23" s="85"/>
      <c r="BH23" s="85"/>
      <c r="BI23" s="85"/>
      <c r="BJ23" s="85"/>
      <c r="BK23" s="85"/>
      <c r="BL23" s="85"/>
      <c r="BM23" s="85"/>
      <c r="BN23" s="85"/>
      <c r="BO23" s="85"/>
      <c r="BP23" s="85"/>
      <c r="BQ23" s="85"/>
      <c r="BR23" s="85"/>
      <c r="BS23" s="85"/>
      <c r="BT23" s="85"/>
      <c r="BU23" s="85"/>
      <c r="BV23" s="85"/>
      <c r="BW23" s="85"/>
      <c r="BX23" s="85"/>
      <c r="BY23" s="85"/>
      <c r="BZ23" s="85"/>
      <c r="CA23" s="85"/>
      <c r="CB23" s="85"/>
      <c r="CC23" s="85"/>
      <c r="CD23" s="85"/>
      <c r="CE23" s="85"/>
      <c r="CF23" s="85"/>
      <c r="CG23" s="85"/>
      <c r="CH23" s="85"/>
      <c r="CI23" s="85"/>
      <c r="CJ23" s="85"/>
      <c r="CK23" s="85"/>
      <c r="CL23" s="85"/>
      <c r="CM23" s="85"/>
      <c r="CN23" s="85"/>
      <c r="CO23" s="85"/>
      <c r="CP23" s="85"/>
      <c r="CQ23" s="85"/>
      <c r="CR23" s="85"/>
      <c r="CS23" s="85"/>
      <c r="CT23" s="85"/>
      <c r="CU23" s="85"/>
      <c r="CV23" s="85"/>
      <c r="CW23" s="85"/>
      <c r="CX23" s="85"/>
      <c r="CY23" s="85"/>
      <c r="CZ23" s="85"/>
      <c r="DA23" s="85"/>
      <c r="DB23" s="85"/>
      <c r="DC23" s="85"/>
      <c r="DD23" s="85"/>
    </row>
    <row r="24" spans="1:108" s="96" customFormat="1" x14ac:dyDescent="0.3">
      <c r="B24" s="94" t="s">
        <v>45</v>
      </c>
      <c r="C24" s="146">
        <f>-SUMIF(Ckreg14_15[Category],"=" &amp;CategoryTable812[[#This Row],[Category]],Ckreg14_15[Withdrawal])</f>
        <v>-83</v>
      </c>
      <c r="D24" s="95"/>
      <c r="E24" s="95">
        <f>+CategoryTable812[[#This Row],[Total]]-CategoryTable812[[#This Row],[Budget]]</f>
        <v>-83</v>
      </c>
      <c r="G24" s="79">
        <v>3187</v>
      </c>
      <c r="H24" s="78">
        <v>42028</v>
      </c>
      <c r="I24" s="79" t="s">
        <v>253</v>
      </c>
      <c r="J24" s="79" t="s">
        <v>51</v>
      </c>
      <c r="K24" s="82">
        <v>80</v>
      </c>
      <c r="L24" s="81"/>
      <c r="M24" s="169">
        <f>IF(ISBLANK(Ckreg14_15[[#This Row],[Withdrawal]]),M23+Ckreg14_15[[#This Row],[Deposit]],M23-Ckreg14_15[[#This Row],[Withdrawal]])</f>
        <v>9888.0699999999815</v>
      </c>
      <c r="N24" s="73">
        <v>42048</v>
      </c>
      <c r="O24" s="83"/>
      <c r="Q24" s="85"/>
      <c r="R24" s="85"/>
    </row>
    <row r="25" spans="1:108" s="96" customFormat="1" x14ac:dyDescent="0.3">
      <c r="B25" s="94" t="s">
        <v>46</v>
      </c>
      <c r="C25" s="146">
        <f>-SUMIF(Ckreg14_15[Category],"=" &amp;CategoryTable812[[#This Row],[Category]],Ckreg14_15[Withdrawal])</f>
        <v>-869</v>
      </c>
      <c r="D25" s="95"/>
      <c r="E25" s="95">
        <f>+CategoryTable812[[#This Row],[Total]]-CategoryTable812[[#This Row],[Budget]]</f>
        <v>-869</v>
      </c>
      <c r="G25" s="79">
        <v>3185</v>
      </c>
      <c r="H25" s="78">
        <v>42031</v>
      </c>
      <c r="I25" s="79" t="s">
        <v>251</v>
      </c>
      <c r="J25" s="97" t="s">
        <v>51</v>
      </c>
      <c r="K25" s="80">
        <v>120.76</v>
      </c>
      <c r="L25" s="80"/>
      <c r="M25" s="169">
        <f>IF(ISBLANK(Ckreg14_15[[#This Row],[Withdrawal]]),M24+Ckreg14_15[[#This Row],[Deposit]],M24-Ckreg14_15[[#This Row],[Withdrawal]])</f>
        <v>9767.3099999999813</v>
      </c>
      <c r="N25" s="73">
        <v>42063</v>
      </c>
      <c r="O25" s="83"/>
      <c r="Q25" s="85"/>
      <c r="R25" s="85"/>
    </row>
    <row r="26" spans="1:108" s="96" customFormat="1" x14ac:dyDescent="0.3">
      <c r="B26" s="94" t="s">
        <v>47</v>
      </c>
      <c r="C26" s="146">
        <f>-SUMIF(Ckreg14_15[Category],"=" &amp;CategoryTable812[[#This Row],[Category]],Ckreg14_15[Withdrawal])</f>
        <v>0</v>
      </c>
      <c r="D26" s="95"/>
      <c r="E26" s="95">
        <f>+CategoryTable812[[#This Row],[Total]]-CategoryTable812[[#This Row],[Budget]]</f>
        <v>0</v>
      </c>
      <c r="G26" s="79">
        <v>3186</v>
      </c>
      <c r="H26" s="78">
        <v>42031</v>
      </c>
      <c r="I26" s="79" t="s">
        <v>252</v>
      </c>
      <c r="J26" s="79" t="s">
        <v>51</v>
      </c>
      <c r="K26" s="82">
        <v>60</v>
      </c>
      <c r="L26" s="81"/>
      <c r="M26" s="169">
        <f>IF(ISBLANK(Ckreg14_15[[#This Row],[Withdrawal]]),M25+Ckreg14_15[[#This Row],[Deposit]],M25-Ckreg14_15[[#This Row],[Withdrawal]])</f>
        <v>9707.3099999999813</v>
      </c>
      <c r="N26" s="73">
        <v>42048</v>
      </c>
      <c r="O26" s="83"/>
      <c r="Q26" s="85"/>
      <c r="R26" s="85"/>
    </row>
    <row r="27" spans="1:108" s="96" customFormat="1" x14ac:dyDescent="0.3">
      <c r="B27" s="94" t="s">
        <v>48</v>
      </c>
      <c r="C27" s="146">
        <f>-SUMIF(Ckreg14_15[Category],"=" &amp;CategoryTable812[[#This Row],[Category]],Ckreg14_15[Withdrawal])</f>
        <v>0</v>
      </c>
      <c r="D27" s="95"/>
      <c r="E27" s="95">
        <f>+CategoryTable812[[#This Row],[Total]]-CategoryTable812[[#This Row],[Budget]]</f>
        <v>0</v>
      </c>
      <c r="G27" s="79"/>
      <c r="H27" s="78">
        <v>42034</v>
      </c>
      <c r="I27" s="81" t="s">
        <v>261</v>
      </c>
      <c r="J27" s="79" t="s">
        <v>91</v>
      </c>
      <c r="K27" s="82"/>
      <c r="L27" s="82">
        <v>0.57999999999999996</v>
      </c>
      <c r="M27" s="169">
        <f>IF(ISBLANK(Ckreg14_15[[#This Row],[Withdrawal]]),M26+Ckreg14_15[[#This Row],[Deposit]],M26-Ckreg14_15[[#This Row],[Withdrawal]])</f>
        <v>9707.8899999999812</v>
      </c>
      <c r="N27" s="73">
        <v>42034</v>
      </c>
      <c r="O27" s="83" t="s">
        <v>343</v>
      </c>
      <c r="Q27" s="85"/>
      <c r="R27" s="85"/>
    </row>
    <row r="28" spans="1:108" s="96" customFormat="1" x14ac:dyDescent="0.3">
      <c r="B28" s="94" t="s">
        <v>49</v>
      </c>
      <c r="C28" s="146">
        <f>-SUMIF(Ckreg14_15[Category],"=" &amp;CategoryTable812[[#This Row],[Category]],Ckreg14_15[Withdrawal])</f>
        <v>0</v>
      </c>
      <c r="D28" s="95"/>
      <c r="E28" s="95">
        <f>+CategoryTable812[[#This Row],[Total]]-CategoryTable812[[#This Row],[Budget]]</f>
        <v>0</v>
      </c>
      <c r="G28" s="79">
        <v>3188</v>
      </c>
      <c r="H28" s="78">
        <v>42039</v>
      </c>
      <c r="I28" s="79" t="s">
        <v>246</v>
      </c>
      <c r="J28" s="79" t="s">
        <v>44</v>
      </c>
      <c r="K28" s="82">
        <v>114.08</v>
      </c>
      <c r="L28" s="81"/>
      <c r="M28" s="169">
        <f>IF(ISBLANK(Ckreg14_15[[#This Row],[Withdrawal]]),M27+Ckreg14_15[[#This Row],[Deposit]],M27-Ckreg14_15[[#This Row],[Withdrawal]])</f>
        <v>9593.8099999999813</v>
      </c>
      <c r="N28" s="73">
        <v>42044</v>
      </c>
      <c r="O28" s="83"/>
      <c r="Q28" s="85"/>
      <c r="R28" s="85"/>
    </row>
    <row r="29" spans="1:108" s="96" customFormat="1" x14ac:dyDescent="0.3">
      <c r="B29" s="94" t="s">
        <v>50</v>
      </c>
      <c r="C29" s="146">
        <f>-SUMIF(Ckreg14_15[Category],"=" &amp;CategoryTable812[[#This Row],[Category]],Ckreg14_15[Withdrawal])</f>
        <v>0</v>
      </c>
      <c r="D29" s="95"/>
      <c r="E29" s="95">
        <f>+CategoryTable812[[#This Row],[Total]]-CategoryTable812[[#This Row],[Budget]]</f>
        <v>0</v>
      </c>
      <c r="G29" s="79">
        <v>3189</v>
      </c>
      <c r="H29" s="78">
        <v>42040</v>
      </c>
      <c r="I29" s="79" t="s">
        <v>254</v>
      </c>
      <c r="J29" s="79" t="s">
        <v>74</v>
      </c>
      <c r="K29" s="82">
        <v>35.85</v>
      </c>
      <c r="L29" s="81"/>
      <c r="M29" s="169">
        <f>IF(ISBLANK(Ckreg14_15[[#This Row],[Withdrawal]]),M28+Ckreg14_15[[#This Row],[Deposit]],M28-Ckreg14_15[[#This Row],[Withdrawal]])</f>
        <v>9557.9599999999809</v>
      </c>
      <c r="N29" s="73">
        <v>42044</v>
      </c>
      <c r="O29" s="83"/>
      <c r="Q29" s="85"/>
      <c r="R29" s="85"/>
    </row>
    <row r="30" spans="1:108" s="96" customFormat="1" x14ac:dyDescent="0.3">
      <c r="B30" s="94" t="s">
        <v>51</v>
      </c>
      <c r="C30" s="146">
        <f>-SUMIF(Ckreg14_15[Category],"=" &amp;CategoryTable812[[#This Row],[Category]],Ckreg14_15[Withdrawal])</f>
        <v>-551.88</v>
      </c>
      <c r="D30" s="95"/>
      <c r="E30" s="95">
        <f>+CategoryTable812[[#This Row],[Total]]-CategoryTable812[[#This Row],[Budget]]</f>
        <v>-551.88</v>
      </c>
      <c r="G30" s="79"/>
      <c r="H30" s="78">
        <v>42040</v>
      </c>
      <c r="I30" s="81" t="s">
        <v>375</v>
      </c>
      <c r="J30" s="79" t="s">
        <v>33</v>
      </c>
      <c r="K30" s="82"/>
      <c r="L30" s="82">
        <v>308</v>
      </c>
      <c r="M30" s="169">
        <f>IF(ISBLANK(Ckreg14_15[[#This Row],[Withdrawal]]),M29+Ckreg14_15[[#This Row],[Deposit]],M29-Ckreg14_15[[#This Row],[Withdrawal]])</f>
        <v>9865.9599999999809</v>
      </c>
      <c r="N30" s="73">
        <v>42041</v>
      </c>
      <c r="O30" s="83"/>
      <c r="Q30" s="85"/>
      <c r="R30" s="85"/>
    </row>
    <row r="31" spans="1:108" s="96" customFormat="1" x14ac:dyDescent="0.3">
      <c r="B31" s="94" t="s">
        <v>52</v>
      </c>
      <c r="C31" s="146">
        <f>-SUMIF(Ckreg14_15[Category],"=" &amp;CategoryTable812[[#This Row],[Category]],Ckreg14_15[Withdrawal])</f>
        <v>-130.9</v>
      </c>
      <c r="D31" s="95"/>
      <c r="E31" s="95">
        <f>+CategoryTable812[[#This Row],[Total]]-CategoryTable812[[#This Row],[Budget]]</f>
        <v>-130.9</v>
      </c>
      <c r="G31" s="79">
        <v>3190</v>
      </c>
      <c r="H31" s="78">
        <v>42042</v>
      </c>
      <c r="I31" s="79" t="s">
        <v>255</v>
      </c>
      <c r="J31" s="79" t="s">
        <v>40</v>
      </c>
      <c r="K31" s="82">
        <v>25.34</v>
      </c>
      <c r="L31" s="81"/>
      <c r="M31" s="169">
        <f>IF(ISBLANK(Ckreg14_15[[#This Row],[Withdrawal]]),M30+Ckreg14_15[[#This Row],[Deposit]],M30-Ckreg14_15[[#This Row],[Withdrawal]])</f>
        <v>9840.6199999999808</v>
      </c>
      <c r="N31" s="73">
        <v>42044</v>
      </c>
      <c r="O31" s="83"/>
      <c r="Q31" s="85"/>
      <c r="R31" s="85"/>
    </row>
    <row r="32" spans="1:108" s="96" customFormat="1" x14ac:dyDescent="0.3">
      <c r="B32" s="94" t="s">
        <v>53</v>
      </c>
      <c r="C32" s="146">
        <f>-SUMIF(Ckreg14_15[Category],"=" &amp;CategoryTable812[[#This Row],[Category]],Ckreg14_15[Withdrawal])</f>
        <v>-19.600000000000001</v>
      </c>
      <c r="D32" s="95"/>
      <c r="E32" s="95">
        <f>+CategoryTable812[[#This Row],[Total]]-CategoryTable812[[#This Row],[Budget]]</f>
        <v>-19.600000000000001</v>
      </c>
      <c r="G32" s="79">
        <v>3191</v>
      </c>
      <c r="H32" s="78">
        <v>42042</v>
      </c>
      <c r="I32" s="79" t="s">
        <v>256</v>
      </c>
      <c r="J32" s="79"/>
      <c r="K32" s="82">
        <v>0</v>
      </c>
      <c r="L32" s="81"/>
      <c r="M32" s="169">
        <f>IF(ISBLANK(Ckreg14_15[[#This Row],[Withdrawal]]),M31+Ckreg14_15[[#This Row],[Deposit]],M31-Ckreg14_15[[#This Row],[Withdrawal]])</f>
        <v>9840.6199999999808</v>
      </c>
      <c r="N32" s="73">
        <v>42063</v>
      </c>
      <c r="O32" s="83"/>
      <c r="Q32" s="85"/>
      <c r="R32" s="85"/>
    </row>
    <row r="33" spans="2:18" s="96" customFormat="1" x14ac:dyDescent="0.3">
      <c r="B33" s="94" t="s">
        <v>54</v>
      </c>
      <c r="C33" s="146">
        <f>-SUMIF(Ckreg14_15[Category],"=" &amp;CategoryTable812[[#This Row],[Category]],Ckreg14_15[Withdrawal])</f>
        <v>0</v>
      </c>
      <c r="D33" s="95"/>
      <c r="E33" s="95">
        <f>+CategoryTable812[[#This Row],[Total]]-CategoryTable812[[#This Row],[Budget]]</f>
        <v>0</v>
      </c>
      <c r="G33" s="79">
        <v>3192</v>
      </c>
      <c r="H33" s="78">
        <v>42042</v>
      </c>
      <c r="I33" s="79" t="s">
        <v>93</v>
      </c>
      <c r="J33" s="79" t="s">
        <v>39</v>
      </c>
      <c r="K33" s="82">
        <v>42.5</v>
      </c>
      <c r="L33" s="81"/>
      <c r="M33" s="169">
        <f>IF(ISBLANK(Ckreg14_15[[#This Row],[Withdrawal]]),M32+Ckreg14_15[[#This Row],[Deposit]],M32-Ckreg14_15[[#This Row],[Withdrawal]])</f>
        <v>9798.1199999999808</v>
      </c>
      <c r="N33" s="73">
        <v>42045</v>
      </c>
      <c r="O33" s="83"/>
      <c r="Q33" s="85"/>
      <c r="R33" s="85"/>
    </row>
    <row r="34" spans="2:18" s="96" customFormat="1" x14ac:dyDescent="0.3">
      <c r="B34" s="94" t="s">
        <v>55</v>
      </c>
      <c r="C34" s="146">
        <f>-SUMIF(Ckreg14_15[Category],"=" &amp;CategoryTable812[[#This Row],[Category]],Ckreg14_15[Withdrawal])</f>
        <v>-2000</v>
      </c>
      <c r="D34" s="95"/>
      <c r="E34" s="95">
        <f>+CategoryTable812[[#This Row],[Total]]-CategoryTable812[[#This Row],[Budget]]</f>
        <v>-2000</v>
      </c>
      <c r="G34" s="79">
        <v>3192</v>
      </c>
      <c r="H34" s="78">
        <v>42042</v>
      </c>
      <c r="I34" s="79" t="s">
        <v>93</v>
      </c>
      <c r="J34" s="79" t="s">
        <v>36</v>
      </c>
      <c r="K34" s="82">
        <v>42.5</v>
      </c>
      <c r="L34" s="81"/>
      <c r="M34" s="169">
        <f>IF(ISBLANK(Ckreg14_15[[#This Row],[Withdrawal]]),M33+Ckreg14_15[[#This Row],[Deposit]],M33-Ckreg14_15[[#This Row],[Withdrawal]])</f>
        <v>9755.6199999999808</v>
      </c>
      <c r="N34" s="73">
        <v>42045</v>
      </c>
      <c r="O34" s="83"/>
      <c r="Q34" s="85"/>
      <c r="R34" s="85"/>
    </row>
    <row r="35" spans="2:18" s="96" customFormat="1" x14ac:dyDescent="0.3">
      <c r="B35" s="94" t="s">
        <v>56</v>
      </c>
      <c r="C35" s="146">
        <f>-SUMIF(Ckreg14_15[Category],"=" &amp;CategoryTable812[[#This Row],[Category]],Ckreg14_15[Withdrawal])</f>
        <v>-3000</v>
      </c>
      <c r="D35" s="95"/>
      <c r="E35" s="95">
        <f>+CategoryTable812[[#This Row],[Total]]-CategoryTable812[[#This Row],[Budget]]</f>
        <v>-3000</v>
      </c>
      <c r="G35" s="79">
        <v>3192</v>
      </c>
      <c r="H35" s="78">
        <v>42042</v>
      </c>
      <c r="I35" s="79" t="s">
        <v>93</v>
      </c>
      <c r="J35" s="79" t="s">
        <v>52</v>
      </c>
      <c r="K35" s="82">
        <v>36.4</v>
      </c>
      <c r="L35" s="81"/>
      <c r="M35" s="169">
        <f>IF(ISBLANK(Ckreg14_15[[#This Row],[Withdrawal]]),M34+Ckreg14_15[[#This Row],[Deposit]],M34-Ckreg14_15[[#This Row],[Withdrawal]])</f>
        <v>9719.2199999999812</v>
      </c>
      <c r="N35" s="73">
        <v>42045</v>
      </c>
      <c r="O35" s="83"/>
      <c r="Q35" s="85"/>
      <c r="R35" s="85"/>
    </row>
    <row r="36" spans="2:18" s="96" customFormat="1" x14ac:dyDescent="0.3">
      <c r="B36" s="94" t="s">
        <v>57</v>
      </c>
      <c r="C36" s="146">
        <f>-SUMIF(Ckreg14_15[Category],"=" &amp;CategoryTable812[[#This Row],[Category]],Ckreg14_15[Withdrawal])</f>
        <v>-1000</v>
      </c>
      <c r="D36" s="95"/>
      <c r="E36" s="95">
        <f>+CategoryTable812[[#This Row],[Total]]-CategoryTable812[[#This Row],[Budget]]</f>
        <v>-1000</v>
      </c>
      <c r="G36" s="79">
        <v>3193</v>
      </c>
      <c r="H36" s="78">
        <v>42042</v>
      </c>
      <c r="I36" s="79" t="s">
        <v>172</v>
      </c>
      <c r="J36" s="79" t="s">
        <v>52</v>
      </c>
      <c r="K36" s="82">
        <v>15.5</v>
      </c>
      <c r="L36" s="81"/>
      <c r="M36" s="169">
        <f>IF(ISBLANK(Ckreg14_15[[#This Row],[Withdrawal]]),M35+Ckreg14_15[[#This Row],[Deposit]],M35-Ckreg14_15[[#This Row],[Withdrawal]])</f>
        <v>9703.7199999999812</v>
      </c>
      <c r="N36" s="73">
        <v>42089</v>
      </c>
      <c r="O36" s="83"/>
      <c r="Q36" s="85"/>
      <c r="R36" s="85"/>
    </row>
    <row r="37" spans="2:18" s="96" customFormat="1" x14ac:dyDescent="0.3">
      <c r="B37" s="94" t="s">
        <v>58</v>
      </c>
      <c r="C37" s="146">
        <f>-SUMIF(Ckreg14_15[Category],"=" &amp;CategoryTable812[[#This Row],[Category]],Ckreg14_15[Withdrawal])</f>
        <v>-2144.08</v>
      </c>
      <c r="D37" s="95"/>
      <c r="E37" s="95">
        <f>+CategoryTable812[[#This Row],[Total]]-CategoryTable812[[#This Row],[Budget]]</f>
        <v>-2144.08</v>
      </c>
      <c r="G37" s="79">
        <v>3194</v>
      </c>
      <c r="H37" s="78">
        <v>42042</v>
      </c>
      <c r="I37" s="79" t="s">
        <v>92</v>
      </c>
      <c r="J37" s="79" t="s">
        <v>43</v>
      </c>
      <c r="K37" s="82">
        <v>50</v>
      </c>
      <c r="L37" s="81"/>
      <c r="M37" s="169">
        <f>IF(ISBLANK(Ckreg14_15[[#This Row],[Withdrawal]]),M36+Ckreg14_15[[#This Row],[Deposit]],M36-Ckreg14_15[[#This Row],[Withdrawal]])</f>
        <v>9653.7199999999812</v>
      </c>
      <c r="N37" s="73">
        <v>42053</v>
      </c>
      <c r="O37" s="83"/>
      <c r="Q37" s="85"/>
      <c r="R37" s="85"/>
    </row>
    <row r="38" spans="2:18" s="96" customFormat="1" x14ac:dyDescent="0.3">
      <c r="B38" s="94" t="s">
        <v>59</v>
      </c>
      <c r="C38" s="146">
        <f>-SUMIF(Ckreg14_15[Category],"=" &amp;CategoryTable812[[#This Row],[Category]],Ckreg14_15[Withdrawal])</f>
        <v>-1429.38</v>
      </c>
      <c r="D38" s="95"/>
      <c r="E38" s="95">
        <f>+CategoryTable812[[#This Row],[Total]]-CategoryTable812[[#This Row],[Budget]]</f>
        <v>-1429.38</v>
      </c>
      <c r="G38" s="78"/>
      <c r="H38" s="78">
        <v>42042</v>
      </c>
      <c r="I38" s="81" t="s">
        <v>260</v>
      </c>
      <c r="J38" s="79" t="s">
        <v>32</v>
      </c>
      <c r="K38" s="82"/>
      <c r="L38" s="82">
        <v>95</v>
      </c>
      <c r="M38" s="169">
        <f>IF(ISBLANK(Ckreg14_15[[#This Row],[Withdrawal]]),M37+Ckreg14_15[[#This Row],[Deposit]],M37-Ckreg14_15[[#This Row],[Withdrawal]])</f>
        <v>9748.7199999999812</v>
      </c>
      <c r="N38" s="73">
        <v>42044</v>
      </c>
      <c r="O38" s="83"/>
      <c r="Q38" s="85"/>
      <c r="R38" s="85"/>
    </row>
    <row r="39" spans="2:18" s="96" customFormat="1" x14ac:dyDescent="0.3">
      <c r="B39" s="94" t="s">
        <v>60</v>
      </c>
      <c r="C39" s="146">
        <f>SUMIF(Ckreg14_15[Category],"=" &amp;CategoryTable812[[#This Row],[Category]],Ckreg14_15[Deposit])</f>
        <v>6358.1</v>
      </c>
      <c r="D39" s="95"/>
      <c r="E39" s="95">
        <f>+CategoryTable812[[#This Row],[Total]]-CategoryTable812[[#This Row],[Budget]]</f>
        <v>6358.1</v>
      </c>
      <c r="G39" s="79"/>
      <c r="H39" s="78">
        <v>42042</v>
      </c>
      <c r="I39" s="81" t="s">
        <v>376</v>
      </c>
      <c r="J39" s="79" t="s">
        <v>74</v>
      </c>
      <c r="K39" s="82"/>
      <c r="L39" s="82">
        <v>50</v>
      </c>
      <c r="M39" s="169">
        <f>IF(ISBLANK(Ckreg14_15[[#This Row],[Withdrawal]]),M38+Ckreg14_15[[#This Row],[Deposit]],M38-Ckreg14_15[[#This Row],[Withdrawal]])</f>
        <v>9798.7199999999812</v>
      </c>
      <c r="N39" s="73">
        <v>42044</v>
      </c>
      <c r="O39" s="83"/>
      <c r="Q39" s="85"/>
      <c r="R39" s="85"/>
    </row>
    <row r="40" spans="2:18" s="96" customFormat="1" x14ac:dyDescent="0.3">
      <c r="B40" s="94" t="s">
        <v>61</v>
      </c>
      <c r="C40" s="146">
        <f>SUMIF(Ckreg14_15[Category],"=" &amp;CategoryTable812[[#This Row],[Category]],Ckreg14_15[Deposit])</f>
        <v>11486.5</v>
      </c>
      <c r="D40" s="95"/>
      <c r="E40" s="95">
        <f>+CategoryTable812[[#This Row],[Total]]-CategoryTable812[[#This Row],[Budget]]</f>
        <v>11486.5</v>
      </c>
      <c r="G40" s="79"/>
      <c r="H40" s="78">
        <v>42042</v>
      </c>
      <c r="I40" s="81" t="s">
        <v>377</v>
      </c>
      <c r="J40" s="79" t="s">
        <v>32</v>
      </c>
      <c r="K40" s="82"/>
      <c r="L40" s="82">
        <v>75</v>
      </c>
      <c r="M40" s="169">
        <f>IF(ISBLANK(Ckreg14_15[[#This Row],[Withdrawal]]),M39+Ckreg14_15[[#This Row],[Deposit]],M39-Ckreg14_15[[#This Row],[Withdrawal]])</f>
        <v>9873.7199999999812</v>
      </c>
      <c r="N40" s="73">
        <v>42044</v>
      </c>
      <c r="O40" s="83"/>
      <c r="Q40" s="85"/>
      <c r="R40" s="85"/>
    </row>
    <row r="41" spans="2:18" s="96" customFormat="1" x14ac:dyDescent="0.3">
      <c r="B41" s="94" t="s">
        <v>62</v>
      </c>
      <c r="C41" s="146">
        <f>-SUMIF(Ckreg14_15[Category],"=" &amp;CategoryTable812[[#This Row],[Category]],Ckreg14_15[Withdrawal])</f>
        <v>-100</v>
      </c>
      <c r="D41" s="95"/>
      <c r="E41" s="95">
        <f>+CategoryTable812[[#This Row],[Total]]-CategoryTable812[[#This Row],[Budget]]</f>
        <v>-100</v>
      </c>
      <c r="G41" s="79">
        <v>3195</v>
      </c>
      <c r="H41" s="78">
        <v>42047</v>
      </c>
      <c r="I41" s="79" t="s">
        <v>122</v>
      </c>
      <c r="J41" s="79" t="s">
        <v>45</v>
      </c>
      <c r="K41" s="82">
        <v>83</v>
      </c>
      <c r="L41" s="81"/>
      <c r="M41" s="169">
        <f>IF(ISBLANK(Ckreg14_15[[#This Row],[Withdrawal]]),M40+Ckreg14_15[[#This Row],[Deposit]],M40-Ckreg14_15[[#This Row],[Withdrawal]])</f>
        <v>9790.7199999999812</v>
      </c>
      <c r="N41" s="73">
        <v>42052</v>
      </c>
      <c r="O41" s="83"/>
      <c r="Q41" s="85"/>
      <c r="R41" s="85"/>
    </row>
    <row r="42" spans="2:18" s="96" customFormat="1" x14ac:dyDescent="0.3">
      <c r="B42" s="94" t="s">
        <v>63</v>
      </c>
      <c r="C42" s="146">
        <f>-SUMIF(Ckreg14_15[Category],"=" &amp;CategoryTable812[[#This Row],[Category]],Ckreg14_15[Withdrawal])</f>
        <v>-100</v>
      </c>
      <c r="D42" s="95"/>
      <c r="E42" s="95">
        <f>+CategoryTable812[[#This Row],[Total]]-CategoryTable812[[#This Row],[Budget]]</f>
        <v>-100</v>
      </c>
      <c r="G42" s="79">
        <v>3185</v>
      </c>
      <c r="H42" s="78">
        <v>42051</v>
      </c>
      <c r="I42" s="79" t="s">
        <v>257</v>
      </c>
      <c r="J42" s="79" t="s">
        <v>51</v>
      </c>
      <c r="K42" s="82"/>
      <c r="L42" s="81">
        <v>120.76</v>
      </c>
      <c r="M42" s="169">
        <f>IF(ISBLANK(Ckreg14_15[[#This Row],[Withdrawal]]),M41+Ckreg14_15[[#This Row],[Deposit]],M41-Ckreg14_15[[#This Row],[Withdrawal]])</f>
        <v>9911.4799999999814</v>
      </c>
      <c r="N42" s="73">
        <v>42063</v>
      </c>
      <c r="O42" s="83"/>
      <c r="Q42" s="85"/>
      <c r="R42" s="85"/>
    </row>
    <row r="43" spans="2:18" s="96" customFormat="1" x14ac:dyDescent="0.3">
      <c r="B43" s="94" t="s">
        <v>64</v>
      </c>
      <c r="C43" s="146">
        <f>-SUMIF(Ckreg14_15[Category],"=" &amp;CategoryTable812[[#This Row],[Category]],Ckreg14_15[Withdrawal])</f>
        <v>-47</v>
      </c>
      <c r="D43" s="95"/>
      <c r="E43" s="95">
        <f>+CategoryTable812[[#This Row],[Total]]-CategoryTable812[[#This Row],[Budget]]</f>
        <v>-47</v>
      </c>
      <c r="G43" s="79">
        <v>3196</v>
      </c>
      <c r="H43" s="78">
        <v>42051</v>
      </c>
      <c r="I43" s="79" t="s">
        <v>131</v>
      </c>
      <c r="J43" s="79" t="s">
        <v>51</v>
      </c>
      <c r="K43" s="82">
        <v>120.76</v>
      </c>
      <c r="L43" s="81"/>
      <c r="M43" s="169">
        <f>IF(ISBLANK(Ckreg14_15[[#This Row],[Withdrawal]]),M42+Ckreg14_15[[#This Row],[Deposit]],M42-Ckreg14_15[[#This Row],[Withdrawal]])</f>
        <v>9790.7199999999812</v>
      </c>
      <c r="N43" s="73">
        <v>42058</v>
      </c>
      <c r="O43" s="83"/>
      <c r="Q43" s="85"/>
      <c r="R43" s="85"/>
    </row>
    <row r="44" spans="2:18" s="96" customFormat="1" x14ac:dyDescent="0.3">
      <c r="B44" s="94" t="s">
        <v>65</v>
      </c>
      <c r="C44" s="146">
        <f>-SUMIF(Ckreg14_15[Category],"=" &amp;CategoryTable812[[#This Row],[Category]],Ckreg14_15[Withdrawal])</f>
        <v>-100</v>
      </c>
      <c r="D44" s="95"/>
      <c r="E44" s="95">
        <f>+CategoryTable812[[#This Row],[Total]]-CategoryTable812[[#This Row],[Budget]]</f>
        <v>-100</v>
      </c>
      <c r="G44" s="79">
        <v>3197</v>
      </c>
      <c r="H44" s="78">
        <v>42052</v>
      </c>
      <c r="I44" s="79" t="s">
        <v>378</v>
      </c>
      <c r="J44" s="79" t="s">
        <v>69</v>
      </c>
      <c r="K44" s="82">
        <v>400</v>
      </c>
      <c r="L44" s="81"/>
      <c r="M44" s="169">
        <f>IF(ISBLANK(Ckreg14_15[[#This Row],[Withdrawal]]),M43+Ckreg14_15[[#This Row],[Deposit]],M43-Ckreg14_15[[#This Row],[Withdrawal]])</f>
        <v>9390.7199999999812</v>
      </c>
      <c r="N44" s="73">
        <v>42062</v>
      </c>
      <c r="O44" s="83"/>
      <c r="Q44" s="85"/>
      <c r="R44" s="85"/>
    </row>
    <row r="45" spans="2:18" s="96" customFormat="1" x14ac:dyDescent="0.3">
      <c r="B45" s="94" t="s">
        <v>66</v>
      </c>
      <c r="C45" s="146">
        <f>-SUMIF(Ckreg14_15[Category],"=" &amp;CategoryTable812[[#This Row],[Category]],Ckreg14_15[Withdrawal])</f>
        <v>-4113.51</v>
      </c>
      <c r="D45" s="95"/>
      <c r="E45" s="95">
        <f>+CategoryTable812[[#This Row],[Total]]-CategoryTable812[[#This Row],[Budget]]</f>
        <v>-4113.51</v>
      </c>
      <c r="G45" s="79"/>
      <c r="H45" s="78">
        <v>42062</v>
      </c>
      <c r="I45" s="81" t="s">
        <v>261</v>
      </c>
      <c r="J45" s="79" t="s">
        <v>91</v>
      </c>
      <c r="K45" s="82"/>
      <c r="L45" s="82">
        <v>0.4</v>
      </c>
      <c r="M45" s="169">
        <f>IF(ISBLANK(Ckreg14_15[[#This Row],[Withdrawal]]),M44+Ckreg14_15[[#This Row],[Deposit]],M44-Ckreg14_15[[#This Row],[Withdrawal]])</f>
        <v>9391.1199999999808</v>
      </c>
      <c r="N45" s="73">
        <v>42062</v>
      </c>
      <c r="O45" s="83" t="s">
        <v>343</v>
      </c>
      <c r="Q45" s="85"/>
      <c r="R45" s="85"/>
    </row>
    <row r="46" spans="2:18" s="96" customFormat="1" x14ac:dyDescent="0.3">
      <c r="B46" s="94" t="s">
        <v>67</v>
      </c>
      <c r="C46" s="146">
        <f>-SUMIF(Ckreg14_15[Category],"=" &amp;CategoryTable812[[#This Row],[Category]],Ckreg14_15[Withdrawal])</f>
        <v>-4023.62</v>
      </c>
      <c r="D46" s="95"/>
      <c r="E46" s="95">
        <f>+CategoryTable812[[#This Row],[Total]]-CategoryTable812[[#This Row],[Budget]]</f>
        <v>-4023.62</v>
      </c>
      <c r="G46" s="79">
        <v>3172</v>
      </c>
      <c r="H46" s="78">
        <v>42063</v>
      </c>
      <c r="I46" s="79" t="s">
        <v>326</v>
      </c>
      <c r="J46" s="79" t="s">
        <v>40</v>
      </c>
      <c r="K46" s="80"/>
      <c r="L46" s="80">
        <v>488.88</v>
      </c>
      <c r="M46" s="169">
        <f>IF(ISBLANK(Ckreg14_15[[#This Row],[Withdrawal]]),M45+Ckreg14_15[[#This Row],[Deposit]],M45-Ckreg14_15[[#This Row],[Withdrawal]])</f>
        <v>9879.99999999998</v>
      </c>
      <c r="N46" s="73">
        <v>42063</v>
      </c>
      <c r="O46" s="83"/>
      <c r="Q46" s="85"/>
      <c r="R46" s="85"/>
    </row>
    <row r="47" spans="2:18" s="96" customFormat="1" x14ac:dyDescent="0.3">
      <c r="B47" s="94" t="s">
        <v>68</v>
      </c>
      <c r="C47" s="146">
        <f>-SUMIF(Ckreg14_15[Category],"=" &amp;CategoryTable812[[#This Row],[Category]],Ckreg14_15[Withdrawal])</f>
        <v>-725.79000000000008</v>
      </c>
      <c r="D47" s="95"/>
      <c r="E47" s="95">
        <f>+CategoryTable812[[#This Row],[Total]]-CategoryTable812[[#This Row],[Budget]]</f>
        <v>-725.79000000000008</v>
      </c>
      <c r="G47" s="79">
        <v>3198</v>
      </c>
      <c r="H47" s="78">
        <v>42070</v>
      </c>
      <c r="I47" s="79" t="s">
        <v>172</v>
      </c>
      <c r="J47" s="79" t="s">
        <v>34</v>
      </c>
      <c r="K47" s="82">
        <v>75</v>
      </c>
      <c r="L47" s="81"/>
      <c r="M47" s="169">
        <f>IF(ISBLANK(Ckreg14_15[[#This Row],[Withdrawal]]),M46+Ckreg14_15[[#This Row],[Deposit]],M46-Ckreg14_15[[#This Row],[Withdrawal]])</f>
        <v>9804.99999999998</v>
      </c>
      <c r="N47" s="73">
        <v>42089</v>
      </c>
      <c r="O47" s="83"/>
      <c r="Q47" s="85"/>
      <c r="R47" s="85"/>
    </row>
    <row r="48" spans="2:18" s="96" customFormat="1" x14ac:dyDescent="0.3">
      <c r="B48" s="94" t="s">
        <v>69</v>
      </c>
      <c r="C48" s="146">
        <f>-SUMIF(Ckreg14_15[Category],"=" &amp;CategoryTable812[[#This Row],[Category]],Ckreg14_15[Withdrawal])</f>
        <v>-6244</v>
      </c>
      <c r="D48" s="95"/>
      <c r="E48" s="95">
        <f>+CategoryTable812[[#This Row],[Total]]-CategoryTable812[[#This Row],[Budget]]</f>
        <v>-6244</v>
      </c>
      <c r="G48" s="79">
        <v>3199</v>
      </c>
      <c r="H48" s="78">
        <v>42076</v>
      </c>
      <c r="I48" s="79" t="s">
        <v>246</v>
      </c>
      <c r="J48" s="79" t="s">
        <v>44</v>
      </c>
      <c r="K48" s="82">
        <v>30.36</v>
      </c>
      <c r="L48" s="81"/>
      <c r="M48" s="169">
        <f>IF(ISBLANK(Ckreg14_15[[#This Row],[Withdrawal]]),M47+Ckreg14_15[[#This Row],[Deposit]],M47-Ckreg14_15[[#This Row],[Withdrawal]])</f>
        <v>9774.6399999999794</v>
      </c>
      <c r="N48" s="73">
        <v>42080</v>
      </c>
      <c r="O48" s="83"/>
      <c r="Q48" s="85"/>
      <c r="R48" s="85"/>
    </row>
    <row r="49" spans="2:18" s="96" customFormat="1" x14ac:dyDescent="0.3">
      <c r="B49" s="94" t="s">
        <v>70</v>
      </c>
      <c r="C49" s="146">
        <f>-SUMIF(Ckreg14_15[Category],"=" &amp;CategoryTable812[[#This Row],[Category]],Ckreg14_15[Withdrawal])</f>
        <v>-91.9</v>
      </c>
      <c r="D49" s="95"/>
      <c r="E49" s="95">
        <f>+CategoryTable812[[#This Row],[Total]]-CategoryTable812[[#This Row],[Budget]]</f>
        <v>-91.9</v>
      </c>
      <c r="G49" s="79">
        <v>3200</v>
      </c>
      <c r="H49" s="78">
        <v>42078</v>
      </c>
      <c r="I49" s="79" t="s">
        <v>258</v>
      </c>
      <c r="J49" s="79"/>
      <c r="K49" s="82">
        <v>0</v>
      </c>
      <c r="L49" s="81"/>
      <c r="M49" s="169">
        <f>IF(ISBLANK(Ckreg14_15[[#This Row],[Withdrawal]]),M48+Ckreg14_15[[#This Row],[Deposit]],M48-Ckreg14_15[[#This Row],[Withdrawal]])</f>
        <v>9774.6399999999794</v>
      </c>
      <c r="N49" s="73">
        <v>42063</v>
      </c>
      <c r="O49" s="83"/>
      <c r="Q49" s="85"/>
      <c r="R49" s="85"/>
    </row>
    <row r="50" spans="2:18" s="96" customFormat="1" x14ac:dyDescent="0.3">
      <c r="B50" s="94" t="s">
        <v>71</v>
      </c>
      <c r="C50" s="146">
        <f>-SUMIF(Ckreg14_15[Category],"=" &amp;CategoryTable812[[#This Row],[Category]],Ckreg14_15[Withdrawal])</f>
        <v>0</v>
      </c>
      <c r="D50" s="95"/>
      <c r="E50" s="95">
        <f>+CategoryTable812[[#This Row],[Total]]-CategoryTable812[[#This Row],[Budget]]</f>
        <v>0</v>
      </c>
      <c r="G50" s="79">
        <v>3201</v>
      </c>
      <c r="H50" s="78">
        <v>42078</v>
      </c>
      <c r="I50" s="79" t="s">
        <v>259</v>
      </c>
      <c r="J50" s="79" t="s">
        <v>34</v>
      </c>
      <c r="K50" s="82">
        <v>300</v>
      </c>
      <c r="L50" s="81"/>
      <c r="M50" s="169">
        <f>IF(ISBLANK(Ckreg14_15[[#This Row],[Withdrawal]]),M49+Ckreg14_15[[#This Row],[Deposit]],M49-Ckreg14_15[[#This Row],[Withdrawal]])</f>
        <v>9474.6399999999794</v>
      </c>
      <c r="N50" s="73">
        <v>42083</v>
      </c>
      <c r="O50" s="83"/>
      <c r="Q50" s="85"/>
      <c r="R50" s="85"/>
    </row>
    <row r="51" spans="2:18" s="96" customFormat="1" x14ac:dyDescent="0.3">
      <c r="B51" s="94" t="s">
        <v>72</v>
      </c>
      <c r="C51" s="146">
        <f>-SUMIF(Ckreg14_15[Category],"=" &amp;CategoryTable812[[#This Row],[Category]],Ckreg14_15[Withdrawal])</f>
        <v>0</v>
      </c>
      <c r="D51" s="95"/>
      <c r="E51" s="95">
        <f>+CategoryTable812[[#This Row],[Total]]-CategoryTable812[[#This Row],[Budget]]</f>
        <v>0</v>
      </c>
      <c r="G51" s="79">
        <v>3201</v>
      </c>
      <c r="H51" s="78">
        <v>42078</v>
      </c>
      <c r="I51" s="79" t="s">
        <v>357</v>
      </c>
      <c r="J51" s="79" t="s">
        <v>44</v>
      </c>
      <c r="K51" s="82">
        <v>350</v>
      </c>
      <c r="L51" s="81"/>
      <c r="M51" s="169">
        <f>IF(ISBLANK(Ckreg14_15[[#This Row],[Withdrawal]]),M50+Ckreg14_15[[#This Row],[Deposit]],M50-Ckreg14_15[[#This Row],[Withdrawal]])</f>
        <v>9124.6399999999794</v>
      </c>
      <c r="N51" s="73">
        <v>42083</v>
      </c>
      <c r="O51" s="83" t="s">
        <v>343</v>
      </c>
      <c r="Q51" s="85"/>
      <c r="R51" s="85"/>
    </row>
    <row r="52" spans="2:18" s="96" customFormat="1" x14ac:dyDescent="0.3">
      <c r="B52" s="94" t="s">
        <v>73</v>
      </c>
      <c r="C52" s="146">
        <f>-SUMIF(Ckreg14_15[Category],"=" &amp;CategoryTable812[[#This Row],[Category]],Ckreg14_15[Withdrawal])</f>
        <v>-250</v>
      </c>
      <c r="D52" s="95"/>
      <c r="E52" s="95">
        <f>+CategoryTable812[[#This Row],[Total]]-CategoryTable812[[#This Row],[Budget]]</f>
        <v>-250</v>
      </c>
      <c r="G52" s="79">
        <v>3202</v>
      </c>
      <c r="H52" s="78">
        <v>42078</v>
      </c>
      <c r="I52" s="79" t="s">
        <v>136</v>
      </c>
      <c r="J52" s="79" t="s">
        <v>34</v>
      </c>
      <c r="K52" s="82">
        <v>52.24</v>
      </c>
      <c r="L52" s="81"/>
      <c r="M52" s="169">
        <f>IF(ISBLANK(Ckreg14_15[[#This Row],[Withdrawal]]),M51+Ckreg14_15[[#This Row],[Deposit]],M51-Ckreg14_15[[#This Row],[Withdrawal]])</f>
        <v>9072.3999999999796</v>
      </c>
      <c r="N52" s="73">
        <v>42104</v>
      </c>
      <c r="O52" s="83"/>
      <c r="Q52" s="85"/>
      <c r="R52" s="85"/>
    </row>
    <row r="53" spans="2:18" s="96" customFormat="1" x14ac:dyDescent="0.3">
      <c r="B53" s="94" t="s">
        <v>74</v>
      </c>
      <c r="C53" s="146">
        <f>-SUMIF(Ckreg14_15[Category],"=" &amp;CategoryTable812[[#This Row],[Category]],Ckreg14_15[Withdrawal])</f>
        <v>-251.69</v>
      </c>
      <c r="D53" s="95"/>
      <c r="E53" s="95">
        <f>+CategoryTable812[[#This Row],[Total]]-CategoryTable812[[#This Row],[Budget]]</f>
        <v>-251.69</v>
      </c>
      <c r="G53" s="79"/>
      <c r="H53" s="78">
        <v>42083</v>
      </c>
      <c r="I53" s="81" t="s">
        <v>379</v>
      </c>
      <c r="J53" s="79" t="s">
        <v>33</v>
      </c>
      <c r="K53" s="82"/>
      <c r="L53" s="82">
        <v>285</v>
      </c>
      <c r="M53" s="169">
        <f>IF(ISBLANK(Ckreg14_15[[#This Row],[Withdrawal]]),M52+Ckreg14_15[[#This Row],[Deposit]],M52-Ckreg14_15[[#This Row],[Withdrawal]])</f>
        <v>9357.3999999999796</v>
      </c>
      <c r="N53" s="73">
        <v>42083</v>
      </c>
      <c r="O53" s="83"/>
      <c r="Q53" s="85"/>
      <c r="R53" s="85"/>
    </row>
    <row r="54" spans="2:18" s="96" customFormat="1" x14ac:dyDescent="0.3">
      <c r="B54" s="94"/>
      <c r="C54" s="146">
        <f>SUBTOTAL(109,C7:C53)</f>
        <v>8188.6699999999846</v>
      </c>
      <c r="D54" s="95"/>
      <c r="E54" s="95">
        <f>+CategoryTable812[[#This Row],[Total]]-CategoryTable812[[#This Row],[Budget]]</f>
        <v>8188.6699999999846</v>
      </c>
      <c r="G54" s="79">
        <v>3203</v>
      </c>
      <c r="H54" s="78">
        <v>42084</v>
      </c>
      <c r="I54" s="79" t="s">
        <v>246</v>
      </c>
      <c r="J54" s="79" t="s">
        <v>44</v>
      </c>
      <c r="K54" s="98">
        <v>195.39</v>
      </c>
      <c r="L54" s="98"/>
      <c r="M54" s="169">
        <f>IF(ISBLANK(Ckreg14_15[[#This Row],[Withdrawal]]),M53+Ckreg14_15[[#This Row],[Deposit]],M53-Ckreg14_15[[#This Row],[Withdrawal]])</f>
        <v>9162.0099999999802</v>
      </c>
      <c r="N54" s="73">
        <v>42094</v>
      </c>
      <c r="O54" s="83"/>
      <c r="Q54" s="85"/>
      <c r="R54" s="85"/>
    </row>
    <row r="55" spans="2:18" s="96" customFormat="1" x14ac:dyDescent="0.3">
      <c r="G55" s="79">
        <v>3204</v>
      </c>
      <c r="H55" s="78">
        <v>42087</v>
      </c>
      <c r="I55" s="79" t="s">
        <v>258</v>
      </c>
      <c r="J55" s="79"/>
      <c r="K55" s="98">
        <v>0</v>
      </c>
      <c r="L55" s="98">
        <v>0</v>
      </c>
      <c r="M55" s="169">
        <f>IF(ISBLANK(Ckreg14_15[[#This Row],[Withdrawal]]),M54+Ckreg14_15[[#This Row],[Deposit]],M54-Ckreg14_15[[#This Row],[Withdrawal]])</f>
        <v>9162.0099999999802</v>
      </c>
      <c r="N55" s="73">
        <v>42063</v>
      </c>
      <c r="O55" s="83"/>
      <c r="Q55" s="85"/>
      <c r="R55" s="85"/>
    </row>
    <row r="56" spans="2:18" s="96" customFormat="1" x14ac:dyDescent="0.3">
      <c r="C56" s="180">
        <f>SUM(C39:C53)</f>
        <v>1797.0899999999965</v>
      </c>
      <c r="G56" s="79">
        <v>3205</v>
      </c>
      <c r="H56" s="78">
        <v>42088</v>
      </c>
      <c r="I56" s="79" t="s">
        <v>265</v>
      </c>
      <c r="J56" s="79" t="s">
        <v>34</v>
      </c>
      <c r="K56" s="98">
        <v>98.6</v>
      </c>
      <c r="L56" s="98"/>
      <c r="M56" s="169">
        <f>IF(ISBLANK(Ckreg14_15[[#This Row],[Withdrawal]]),M55+Ckreg14_15[[#This Row],[Deposit]],M55-Ckreg14_15[[#This Row],[Withdrawal]])</f>
        <v>9063.4099999999798</v>
      </c>
      <c r="N56" s="73">
        <v>42108</v>
      </c>
      <c r="O56" s="83"/>
      <c r="Q56" s="85"/>
      <c r="R56" s="85"/>
    </row>
    <row r="57" spans="2:18" s="96" customFormat="1" x14ac:dyDescent="0.3">
      <c r="G57" s="79">
        <v>3206</v>
      </c>
      <c r="H57" s="78">
        <v>42090</v>
      </c>
      <c r="I57" s="79" t="s">
        <v>255</v>
      </c>
      <c r="J57" s="79" t="s">
        <v>74</v>
      </c>
      <c r="K57" s="98">
        <v>107.56</v>
      </c>
      <c r="L57" s="98"/>
      <c r="M57" s="169">
        <f>IF(ISBLANK(Ckreg14_15[[#This Row],[Withdrawal]]),M56+Ckreg14_15[[#This Row],[Deposit]],M56-Ckreg14_15[[#This Row],[Withdrawal]])</f>
        <v>8955.8499999999804</v>
      </c>
      <c r="N57" s="73">
        <v>42093</v>
      </c>
      <c r="O57" s="83"/>
      <c r="Q57" s="85"/>
      <c r="R57" s="85"/>
    </row>
    <row r="58" spans="2:18" s="96" customFormat="1" x14ac:dyDescent="0.3">
      <c r="G58" s="79">
        <v>3207</v>
      </c>
      <c r="H58" s="78">
        <v>42090</v>
      </c>
      <c r="I58" s="79" t="s">
        <v>266</v>
      </c>
      <c r="J58" s="79" t="s">
        <v>67</v>
      </c>
      <c r="K58" s="98">
        <v>20</v>
      </c>
      <c r="L58" s="98"/>
      <c r="M58" s="169">
        <f>IF(ISBLANK(Ckreg14_15[[#This Row],[Withdrawal]]),M57+Ckreg14_15[[#This Row],[Deposit]],M57-Ckreg14_15[[#This Row],[Withdrawal]])</f>
        <v>8935.8499999999804</v>
      </c>
      <c r="N58" s="73">
        <v>42093</v>
      </c>
      <c r="O58" s="83"/>
      <c r="Q58" s="85"/>
      <c r="R58" s="85"/>
    </row>
    <row r="59" spans="2:18" s="96" customFormat="1" x14ac:dyDescent="0.3">
      <c r="G59" s="79">
        <v>3208</v>
      </c>
      <c r="H59" s="78">
        <v>42090</v>
      </c>
      <c r="I59" s="79" t="s">
        <v>172</v>
      </c>
      <c r="J59" s="79" t="s">
        <v>52</v>
      </c>
      <c r="K59" s="98">
        <v>35.5</v>
      </c>
      <c r="L59" s="98"/>
      <c r="M59" s="169">
        <f>IF(ISBLANK(Ckreg14_15[[#This Row],[Withdrawal]]),M58+Ckreg14_15[[#This Row],[Deposit]],M58-Ckreg14_15[[#This Row],[Withdrawal]])</f>
        <v>8900.3499999999804</v>
      </c>
      <c r="N59" s="73">
        <v>42104</v>
      </c>
      <c r="O59" s="83"/>
      <c r="Q59" s="85"/>
      <c r="R59" s="85"/>
    </row>
    <row r="60" spans="2:18" s="96" customFormat="1" x14ac:dyDescent="0.3">
      <c r="G60" s="79"/>
      <c r="H60" s="78">
        <v>42090</v>
      </c>
      <c r="I60" s="79" t="s">
        <v>380</v>
      </c>
      <c r="J60" s="79" t="s">
        <v>74</v>
      </c>
      <c r="K60" s="98"/>
      <c r="L60" s="98">
        <v>80</v>
      </c>
      <c r="M60" s="169">
        <f>IF(ISBLANK(Ckreg14_15[[#This Row],[Withdrawal]]),M59+Ckreg14_15[[#This Row],[Deposit]],M59-Ckreg14_15[[#This Row],[Withdrawal]])</f>
        <v>8980.3499999999804</v>
      </c>
      <c r="N60" s="73">
        <v>42307</v>
      </c>
      <c r="O60" s="83"/>
      <c r="Q60" s="85"/>
      <c r="R60" s="85"/>
    </row>
    <row r="61" spans="2:18" s="96" customFormat="1" x14ac:dyDescent="0.3">
      <c r="G61" s="79"/>
      <c r="H61" s="78">
        <v>42090</v>
      </c>
      <c r="I61" s="79" t="s">
        <v>273</v>
      </c>
      <c r="J61" s="79" t="s">
        <v>32</v>
      </c>
      <c r="K61" s="98"/>
      <c r="L61" s="98">
        <v>230</v>
      </c>
      <c r="M61" s="169">
        <f>IF(ISBLANK(Ckreg14_15[[#This Row],[Withdrawal]]),M60+Ckreg14_15[[#This Row],[Deposit]],M60-Ckreg14_15[[#This Row],[Withdrawal]])</f>
        <v>9210.3499999999804</v>
      </c>
      <c r="N61" s="73">
        <v>42096</v>
      </c>
      <c r="O61" s="83"/>
      <c r="Q61" s="85"/>
      <c r="R61" s="85"/>
    </row>
    <row r="62" spans="2:18" s="96" customFormat="1" x14ac:dyDescent="0.3">
      <c r="G62" s="79">
        <v>3209</v>
      </c>
      <c r="H62" s="78">
        <v>42091</v>
      </c>
      <c r="I62" s="79" t="s">
        <v>267</v>
      </c>
      <c r="J62" s="79" t="s">
        <v>263</v>
      </c>
      <c r="K62" s="98">
        <v>250</v>
      </c>
      <c r="L62" s="98"/>
      <c r="M62" s="169">
        <f>IF(ISBLANK(Ckreg14_15[[#This Row],[Withdrawal]]),M61+Ckreg14_15[[#This Row],[Deposit]],M61-Ckreg14_15[[#This Row],[Withdrawal]])</f>
        <v>8960.3499999999804</v>
      </c>
      <c r="N62" s="73">
        <v>42100</v>
      </c>
      <c r="O62" s="83"/>
      <c r="Q62" s="85"/>
      <c r="R62" s="85"/>
    </row>
    <row r="63" spans="2:18" s="96" customFormat="1" x14ac:dyDescent="0.3">
      <c r="G63" s="79">
        <v>3210</v>
      </c>
      <c r="H63" s="78">
        <v>42091</v>
      </c>
      <c r="I63" s="79" t="s">
        <v>270</v>
      </c>
      <c r="J63" s="79" t="s">
        <v>43</v>
      </c>
      <c r="K63" s="98">
        <v>100</v>
      </c>
      <c r="L63" s="98"/>
      <c r="M63" s="169">
        <f>IF(ISBLANK(Ckreg14_15[[#This Row],[Withdrawal]]),M62+Ckreg14_15[[#This Row],[Deposit]],M62-Ckreg14_15[[#This Row],[Withdrawal]])</f>
        <v>8860.3499999999804</v>
      </c>
      <c r="N63" s="73">
        <v>42094</v>
      </c>
      <c r="O63" s="83"/>
      <c r="Q63" s="85"/>
      <c r="R63" s="85"/>
    </row>
    <row r="64" spans="2:18" s="96" customFormat="1" x14ac:dyDescent="0.3">
      <c r="G64" s="79"/>
      <c r="H64" s="78">
        <v>42094</v>
      </c>
      <c r="I64" s="81" t="s">
        <v>261</v>
      </c>
      <c r="J64" s="79" t="s">
        <v>91</v>
      </c>
      <c r="K64" s="98"/>
      <c r="L64" s="98">
        <v>0.41</v>
      </c>
      <c r="M64" s="169">
        <f>IF(ISBLANK(Ckreg14_15[[#This Row],[Withdrawal]]),M63+Ckreg14_15[[#This Row],[Deposit]],M63-Ckreg14_15[[#This Row],[Withdrawal]])</f>
        <v>8860.7599999999802</v>
      </c>
      <c r="N64" s="73">
        <v>42094</v>
      </c>
      <c r="O64" s="83" t="s">
        <v>343</v>
      </c>
      <c r="Q64" s="85"/>
      <c r="R64" s="85"/>
    </row>
    <row r="65" spans="7:18" s="96" customFormat="1" x14ac:dyDescent="0.3">
      <c r="G65" s="79">
        <v>3211</v>
      </c>
      <c r="H65" s="78">
        <v>42095</v>
      </c>
      <c r="I65" s="79" t="s">
        <v>93</v>
      </c>
      <c r="J65" s="79" t="s">
        <v>39</v>
      </c>
      <c r="K65" s="98">
        <v>85</v>
      </c>
      <c r="L65" s="98"/>
      <c r="M65" s="169">
        <f>IF(ISBLANK(Ckreg14_15[[#This Row],[Withdrawal]]),M64+Ckreg14_15[[#This Row],[Deposit]],M64-Ckreg14_15[[#This Row],[Withdrawal]])</f>
        <v>8775.7599999999802</v>
      </c>
      <c r="N65" s="73">
        <v>42108</v>
      </c>
      <c r="O65" s="83"/>
      <c r="Q65" s="85"/>
      <c r="R65" s="85"/>
    </row>
    <row r="66" spans="7:18" s="96" customFormat="1" x14ac:dyDescent="0.3">
      <c r="G66" s="79">
        <v>3212</v>
      </c>
      <c r="H66" s="78">
        <v>42101</v>
      </c>
      <c r="I66" s="79" t="s">
        <v>93</v>
      </c>
      <c r="J66" s="79" t="s">
        <v>70</v>
      </c>
      <c r="K66" s="98">
        <v>91.9</v>
      </c>
      <c r="L66" s="98"/>
      <c r="M66" s="169">
        <f>IF(ISBLANK(Ckreg14_15[[#This Row],[Withdrawal]]),M65+Ckreg14_15[[#This Row],[Deposit]],M65-Ckreg14_15[[#This Row],[Withdrawal]])</f>
        <v>8683.8599999999806</v>
      </c>
      <c r="N66" s="73">
        <v>42106</v>
      </c>
      <c r="O66" s="83"/>
      <c r="Q66" s="85"/>
      <c r="R66" s="85"/>
    </row>
    <row r="67" spans="7:18" s="96" customFormat="1" x14ac:dyDescent="0.3">
      <c r="G67" s="79">
        <v>3213</v>
      </c>
      <c r="H67" s="78">
        <v>42101</v>
      </c>
      <c r="I67" s="79" t="s">
        <v>280</v>
      </c>
      <c r="J67" s="79" t="s">
        <v>44</v>
      </c>
      <c r="K67" s="98">
        <v>0</v>
      </c>
      <c r="L67" s="98"/>
      <c r="M67" s="169">
        <f>IF(ISBLANK(Ckreg14_15[[#This Row],[Withdrawal]]),M66+Ckreg14_15[[#This Row],[Deposit]],M66-Ckreg14_15[[#This Row],[Withdrawal]])</f>
        <v>8683.8599999999806</v>
      </c>
      <c r="N67" s="73">
        <v>42124</v>
      </c>
      <c r="O67" s="83"/>
      <c r="Q67" s="85"/>
      <c r="R67" s="85"/>
    </row>
    <row r="68" spans="7:18" s="96" customFormat="1" x14ac:dyDescent="0.3">
      <c r="G68" s="79">
        <v>3214</v>
      </c>
      <c r="H68" s="78">
        <v>42101</v>
      </c>
      <c r="I68" s="79" t="s">
        <v>122</v>
      </c>
      <c r="J68" s="79" t="s">
        <v>53</v>
      </c>
      <c r="K68" s="98">
        <v>19.600000000000001</v>
      </c>
      <c r="L68" s="98"/>
      <c r="M68" s="169">
        <f>IF(ISBLANK(Ckreg14_15[[#This Row],[Withdrawal]]),M67+Ckreg14_15[[#This Row],[Deposit]],M67-Ckreg14_15[[#This Row],[Withdrawal]])</f>
        <v>8664.2599999999802</v>
      </c>
      <c r="N68" s="73">
        <v>42103</v>
      </c>
      <c r="O68" s="83"/>
      <c r="Q68" s="85"/>
      <c r="R68" s="85"/>
    </row>
    <row r="69" spans="7:18" s="96" customFormat="1" x14ac:dyDescent="0.3">
      <c r="G69" s="79">
        <v>3215</v>
      </c>
      <c r="H69" s="78">
        <v>42114</v>
      </c>
      <c r="I69" s="79" t="s">
        <v>268</v>
      </c>
      <c r="J69" s="79" t="s">
        <v>263</v>
      </c>
      <c r="K69" s="98">
        <v>62.01</v>
      </c>
      <c r="L69" s="98"/>
      <c r="M69" s="169">
        <f>IF(ISBLANK(Ckreg14_15[[#This Row],[Withdrawal]]),M68+Ckreg14_15[[#This Row],[Deposit]],M68-Ckreg14_15[[#This Row],[Withdrawal]])</f>
        <v>8602.24999999998</v>
      </c>
      <c r="N69" s="73">
        <v>42118</v>
      </c>
      <c r="O69" s="83"/>
      <c r="Q69" s="85"/>
      <c r="R69" s="85"/>
    </row>
    <row r="70" spans="7:18" s="96" customFormat="1" x14ac:dyDescent="0.3">
      <c r="G70" s="79"/>
      <c r="H70" s="78">
        <v>42122</v>
      </c>
      <c r="I70" s="79" t="s">
        <v>381</v>
      </c>
      <c r="J70" s="79" t="s">
        <v>74</v>
      </c>
      <c r="K70" s="98"/>
      <c r="L70" s="98">
        <v>200</v>
      </c>
      <c r="M70" s="169">
        <f>IF(ISBLANK(Ckreg14_15[[#This Row],[Withdrawal]]),M69+Ckreg14_15[[#This Row],[Deposit]],M69-Ckreg14_15[[#This Row],[Withdrawal]])</f>
        <v>8802.24999999998</v>
      </c>
      <c r="N70" s="73">
        <v>42122</v>
      </c>
      <c r="O70" s="83"/>
      <c r="Q70" s="85"/>
      <c r="R70" s="85"/>
    </row>
    <row r="71" spans="7:18" s="96" customFormat="1" x14ac:dyDescent="0.3">
      <c r="G71" s="79"/>
      <c r="H71" s="78">
        <v>42122</v>
      </c>
      <c r="I71" s="81" t="s">
        <v>261</v>
      </c>
      <c r="J71" s="79" t="s">
        <v>91</v>
      </c>
      <c r="K71" s="98"/>
      <c r="L71" s="98">
        <v>0.35</v>
      </c>
      <c r="M71" s="169">
        <f>IF(ISBLANK(Ckreg14_15[[#This Row],[Withdrawal]]),M70+Ckreg14_15[[#This Row],[Deposit]],M70-Ckreg14_15[[#This Row],[Withdrawal]])</f>
        <v>8802.5999999999804</v>
      </c>
      <c r="N71" s="73">
        <v>42122</v>
      </c>
      <c r="O71" s="83" t="s">
        <v>343</v>
      </c>
      <c r="Q71" s="85"/>
      <c r="R71" s="85"/>
    </row>
    <row r="72" spans="7:18" s="96" customFormat="1" x14ac:dyDescent="0.3">
      <c r="G72" s="79">
        <v>3216</v>
      </c>
      <c r="H72" s="78">
        <v>42132</v>
      </c>
      <c r="I72" s="79" t="s">
        <v>269</v>
      </c>
      <c r="J72" s="79" t="s">
        <v>51</v>
      </c>
      <c r="K72" s="98">
        <v>80</v>
      </c>
      <c r="L72" s="98"/>
      <c r="M72" s="169">
        <f>IF(ISBLANK(Ckreg14_15[[#This Row],[Withdrawal]]),M71+Ckreg14_15[[#This Row],[Deposit]],M71-Ckreg14_15[[#This Row],[Withdrawal]])</f>
        <v>8722.5999999999804</v>
      </c>
      <c r="N72" s="73">
        <v>42135</v>
      </c>
      <c r="O72" s="83"/>
      <c r="Q72" s="85"/>
      <c r="R72" s="85"/>
    </row>
    <row r="73" spans="7:18" s="96" customFormat="1" x14ac:dyDescent="0.3">
      <c r="G73" s="79">
        <v>3217</v>
      </c>
      <c r="H73" s="78">
        <v>42136</v>
      </c>
      <c r="I73" s="79" t="s">
        <v>271</v>
      </c>
      <c r="J73" s="79" t="s">
        <v>43</v>
      </c>
      <c r="K73" s="98">
        <v>100</v>
      </c>
      <c r="L73" s="98"/>
      <c r="M73" s="169">
        <f>IF(ISBLANK(Ckreg14_15[[#This Row],[Withdrawal]]),M72+Ckreg14_15[[#This Row],[Deposit]],M72-Ckreg14_15[[#This Row],[Withdrawal]])</f>
        <v>8622.5999999999804</v>
      </c>
      <c r="N73" s="73">
        <v>42143</v>
      </c>
      <c r="O73" s="83"/>
      <c r="Q73" s="85"/>
      <c r="R73" s="85"/>
    </row>
    <row r="74" spans="7:18" s="96" customFormat="1" x14ac:dyDescent="0.3">
      <c r="G74" s="79">
        <v>3218</v>
      </c>
      <c r="H74" s="78">
        <v>42143</v>
      </c>
      <c r="I74" s="79" t="s">
        <v>272</v>
      </c>
      <c r="J74" s="79" t="s">
        <v>36</v>
      </c>
      <c r="K74" s="98">
        <v>40.44</v>
      </c>
      <c r="L74" s="98"/>
      <c r="M74" s="169">
        <f>IF(ISBLANK(Ckreg14_15[[#This Row],[Withdrawal]]),M73+Ckreg14_15[[#This Row],[Deposit]],M73-Ckreg14_15[[#This Row],[Withdrawal]])</f>
        <v>8582.1599999999798</v>
      </c>
      <c r="N74" s="73">
        <v>42150</v>
      </c>
      <c r="O74" s="83"/>
      <c r="Q74" s="85"/>
      <c r="R74" s="85"/>
    </row>
    <row r="75" spans="7:18" s="96" customFormat="1" x14ac:dyDescent="0.3">
      <c r="G75" s="79"/>
      <c r="H75" s="78">
        <v>42153</v>
      </c>
      <c r="I75" s="79" t="s">
        <v>382</v>
      </c>
      <c r="J75" s="79" t="s">
        <v>74</v>
      </c>
      <c r="K75" s="98"/>
      <c r="L75" s="98">
        <v>132</v>
      </c>
      <c r="M75" s="169">
        <f>IF(ISBLANK(Ckreg14_15[[#This Row],[Withdrawal]]),M74+Ckreg14_15[[#This Row],[Deposit]],M74-Ckreg14_15[[#This Row],[Withdrawal]])</f>
        <v>8714.1599999999798</v>
      </c>
      <c r="N75" s="73">
        <v>42153</v>
      </c>
      <c r="O75" s="83"/>
      <c r="Q75" s="85"/>
      <c r="R75" s="85"/>
    </row>
    <row r="76" spans="7:18" s="96" customFormat="1" x14ac:dyDescent="0.3">
      <c r="G76" s="79"/>
      <c r="H76" s="78">
        <v>42153</v>
      </c>
      <c r="I76" s="81" t="s">
        <v>261</v>
      </c>
      <c r="J76" s="79" t="s">
        <v>91</v>
      </c>
      <c r="K76" s="98"/>
      <c r="L76" s="98">
        <v>0.36</v>
      </c>
      <c r="M76" s="169">
        <f>IF(ISBLANK(Ckreg14_15[[#This Row],[Withdrawal]]),M75+Ckreg14_15[[#This Row],[Deposit]],M75-Ckreg14_15[[#This Row],[Withdrawal]])</f>
        <v>8714.5199999999804</v>
      </c>
      <c r="N76" s="73">
        <v>42153</v>
      </c>
      <c r="O76" s="83" t="s">
        <v>343</v>
      </c>
      <c r="Q76" s="85"/>
      <c r="R76" s="85"/>
    </row>
    <row r="77" spans="7:18" s="96" customFormat="1" x14ac:dyDescent="0.3">
      <c r="G77" s="79"/>
      <c r="H77" s="78">
        <v>42161</v>
      </c>
      <c r="I77" s="79" t="s">
        <v>274</v>
      </c>
      <c r="J77" s="79" t="s">
        <v>61</v>
      </c>
      <c r="K77" s="98"/>
      <c r="L77" s="98">
        <v>120</v>
      </c>
      <c r="M77" s="169">
        <f>IF(ISBLANK(Ckreg14_15[[#This Row],[Withdrawal]]),M76+Ckreg14_15[[#This Row],[Deposit]],M76-Ckreg14_15[[#This Row],[Withdrawal]])</f>
        <v>8834.5199999999804</v>
      </c>
      <c r="N77" s="73">
        <v>42163</v>
      </c>
      <c r="O77" s="83"/>
      <c r="Q77" s="85"/>
      <c r="R77" s="85"/>
    </row>
    <row r="78" spans="7:18" s="96" customFormat="1" x14ac:dyDescent="0.3">
      <c r="G78" s="79"/>
      <c r="H78" s="78">
        <v>42161</v>
      </c>
      <c r="I78" s="79" t="s">
        <v>250</v>
      </c>
      <c r="J78" s="79" t="s">
        <v>74</v>
      </c>
      <c r="K78" s="98"/>
      <c r="L78" s="98">
        <v>143</v>
      </c>
      <c r="M78" s="169">
        <f>IF(ISBLANK(Ckreg14_15[[#This Row],[Withdrawal]]),M77+Ckreg14_15[[#This Row],[Deposit]],M77-Ckreg14_15[[#This Row],[Withdrawal]])</f>
        <v>8977.5199999999804</v>
      </c>
      <c r="N78" s="73">
        <v>42163</v>
      </c>
      <c r="O78" s="83"/>
      <c r="Q78" s="85"/>
      <c r="R78" s="85"/>
    </row>
    <row r="79" spans="7:18" s="96" customFormat="1" x14ac:dyDescent="0.3">
      <c r="G79" s="79"/>
      <c r="H79" s="78">
        <v>42161</v>
      </c>
      <c r="I79" s="79" t="s">
        <v>275</v>
      </c>
      <c r="J79" s="79" t="s">
        <v>74</v>
      </c>
      <c r="K79" s="98"/>
      <c r="L79" s="98">
        <v>50</v>
      </c>
      <c r="M79" s="169">
        <f>IF(ISBLANK(Ckreg14_15[[#This Row],[Withdrawal]]),M78+Ckreg14_15[[#This Row],[Deposit]],M78-Ckreg14_15[[#This Row],[Withdrawal]])</f>
        <v>9027.5199999999804</v>
      </c>
      <c r="N79" s="73">
        <v>42163</v>
      </c>
      <c r="O79" s="83"/>
      <c r="Q79" s="85"/>
      <c r="R79" s="85"/>
    </row>
    <row r="80" spans="7:18" s="96" customFormat="1" x14ac:dyDescent="0.3">
      <c r="G80" s="79"/>
      <c r="H80" s="78">
        <v>42161</v>
      </c>
      <c r="I80" s="79" t="s">
        <v>242</v>
      </c>
      <c r="J80" s="79" t="s">
        <v>32</v>
      </c>
      <c r="K80" s="98"/>
      <c r="L80" s="98">
        <v>185</v>
      </c>
      <c r="M80" s="169">
        <f>IF(ISBLANK(Ckreg14_15[[#This Row],[Withdrawal]]),M79+Ckreg14_15[[#This Row],[Deposit]],M79-Ckreg14_15[[#This Row],[Withdrawal]])</f>
        <v>9212.5199999999804</v>
      </c>
      <c r="N80" s="73">
        <v>42163</v>
      </c>
      <c r="O80" s="83"/>
      <c r="Q80" s="85"/>
      <c r="R80" s="85"/>
    </row>
    <row r="81" spans="7:18" s="96" customFormat="1" x14ac:dyDescent="0.3">
      <c r="G81" s="79"/>
      <c r="H81" s="78">
        <v>42161</v>
      </c>
      <c r="I81" s="79" t="s">
        <v>276</v>
      </c>
      <c r="J81" s="79" t="s">
        <v>44</v>
      </c>
      <c r="K81" s="98"/>
      <c r="L81" s="98">
        <v>40</v>
      </c>
      <c r="M81" s="169">
        <f>IF(ISBLANK(Ckreg14_15[[#This Row],[Withdrawal]]),M80+Ckreg14_15[[#This Row],[Deposit]],M80-Ckreg14_15[[#This Row],[Withdrawal]])</f>
        <v>9252.5199999999804</v>
      </c>
      <c r="N81" s="73">
        <v>42163</v>
      </c>
      <c r="O81" s="83"/>
      <c r="Q81" s="85"/>
      <c r="R81" s="85"/>
    </row>
    <row r="82" spans="7:18" s="96" customFormat="1" x14ac:dyDescent="0.3">
      <c r="G82" s="79">
        <v>3219</v>
      </c>
      <c r="H82" s="78">
        <v>42161</v>
      </c>
      <c r="I82" s="79" t="s">
        <v>92</v>
      </c>
      <c r="J82" s="79" t="s">
        <v>43</v>
      </c>
      <c r="K82" s="98">
        <v>25</v>
      </c>
      <c r="L82" s="98"/>
      <c r="M82" s="169">
        <f>IF(ISBLANK(Ckreg14_15[[#This Row],[Withdrawal]]),M81+Ckreg14_15[[#This Row],[Deposit]],M81-Ckreg14_15[[#This Row],[Withdrawal]])</f>
        <v>9227.5199999999804</v>
      </c>
      <c r="N82" s="73">
        <v>42227</v>
      </c>
      <c r="O82" s="83"/>
      <c r="Q82" s="85"/>
      <c r="R82" s="85"/>
    </row>
    <row r="83" spans="7:18" s="96" customFormat="1" x14ac:dyDescent="0.3">
      <c r="G83" s="79">
        <v>3220</v>
      </c>
      <c r="H83" s="78">
        <v>42161</v>
      </c>
      <c r="I83" s="79" t="s">
        <v>277</v>
      </c>
      <c r="J83" s="79" t="s">
        <v>63</v>
      </c>
      <c r="K83" s="98">
        <v>100</v>
      </c>
      <c r="L83" s="98"/>
      <c r="M83" s="169">
        <f>IF(ISBLANK(Ckreg14_15[[#This Row],[Withdrawal]]),M82+Ckreg14_15[[#This Row],[Deposit]],M82-Ckreg14_15[[#This Row],[Withdrawal]])</f>
        <v>9127.5199999999804</v>
      </c>
      <c r="N83" s="73">
        <v>42240</v>
      </c>
      <c r="O83" s="83"/>
      <c r="Q83" s="85"/>
      <c r="R83" s="85"/>
    </row>
    <row r="84" spans="7:18" s="96" customFormat="1" x14ac:dyDescent="0.3">
      <c r="G84" s="79">
        <v>3222</v>
      </c>
      <c r="H84" s="78">
        <v>42161</v>
      </c>
      <c r="I84" s="79" t="s">
        <v>172</v>
      </c>
      <c r="J84" s="79" t="s">
        <v>52</v>
      </c>
      <c r="K84" s="98">
        <v>23.5</v>
      </c>
      <c r="L84" s="98"/>
      <c r="M84" s="169">
        <f>IF(ISBLANK(Ckreg14_15[[#This Row],[Withdrawal]]),M83+Ckreg14_15[[#This Row],[Deposit]],M83-Ckreg14_15[[#This Row],[Withdrawal]])</f>
        <v>9104.0199999999804</v>
      </c>
      <c r="N84" s="73">
        <v>42282</v>
      </c>
      <c r="O84" s="83"/>
      <c r="Q84" s="85"/>
      <c r="R84" s="85"/>
    </row>
    <row r="85" spans="7:18" s="96" customFormat="1" x14ac:dyDescent="0.3">
      <c r="G85" s="79">
        <v>3222</v>
      </c>
      <c r="H85" s="78">
        <v>42161</v>
      </c>
      <c r="I85" s="79" t="s">
        <v>172</v>
      </c>
      <c r="J85" s="79" t="s">
        <v>263</v>
      </c>
      <c r="K85" s="98">
        <v>12</v>
      </c>
      <c r="L85" s="98"/>
      <c r="M85" s="169">
        <f>IF(ISBLANK(Ckreg14_15[[#This Row],[Withdrawal]]),M84+Ckreg14_15[[#This Row],[Deposit]],M84-Ckreg14_15[[#This Row],[Withdrawal]])</f>
        <v>9092.0199999999804</v>
      </c>
      <c r="N85" s="73">
        <v>42282</v>
      </c>
      <c r="O85" s="83"/>
      <c r="Q85" s="85"/>
      <c r="R85" s="85"/>
    </row>
    <row r="86" spans="7:18" s="96" customFormat="1" x14ac:dyDescent="0.3">
      <c r="G86" s="79">
        <v>3221</v>
      </c>
      <c r="H86" s="78">
        <v>42165</v>
      </c>
      <c r="I86" s="79" t="s">
        <v>93</v>
      </c>
      <c r="J86" s="79" t="s">
        <v>39</v>
      </c>
      <c r="K86" s="98">
        <v>60.5</v>
      </c>
      <c r="L86" s="98"/>
      <c r="M86" s="169">
        <f>IF(ISBLANK(Ckreg14_15[[#This Row],[Withdrawal]]),M85+Ckreg14_15[[#This Row],[Deposit]],M85-Ckreg14_15[[#This Row],[Withdrawal]])</f>
        <v>9031.5199999999804</v>
      </c>
      <c r="N86" s="73">
        <v>42173</v>
      </c>
      <c r="O86" s="83"/>
      <c r="Q86" s="85"/>
      <c r="R86" s="85"/>
    </row>
    <row r="87" spans="7:18" s="96" customFormat="1" x14ac:dyDescent="0.3">
      <c r="G87" s="79">
        <v>3221</v>
      </c>
      <c r="H87" s="78">
        <v>42165</v>
      </c>
      <c r="I87" s="79" t="s">
        <v>93</v>
      </c>
      <c r="J87" s="79" t="s">
        <v>36</v>
      </c>
      <c r="K87" s="98">
        <v>15.12</v>
      </c>
      <c r="L87" s="98"/>
      <c r="M87" s="169">
        <f>IF(ISBLANK(Ckreg14_15[[#This Row],[Withdrawal]]),M86+Ckreg14_15[[#This Row],[Deposit]],M86-Ckreg14_15[[#This Row],[Withdrawal]])</f>
        <v>9016.3999999999796</v>
      </c>
      <c r="N87" s="73">
        <v>42173</v>
      </c>
      <c r="O87" s="83"/>
      <c r="Q87" s="85"/>
      <c r="R87" s="85"/>
    </row>
    <row r="88" spans="7:18" s="96" customFormat="1" x14ac:dyDescent="0.3">
      <c r="G88" s="79">
        <v>3223</v>
      </c>
      <c r="H88" s="78">
        <v>42183</v>
      </c>
      <c r="I88" s="79" t="s">
        <v>246</v>
      </c>
      <c r="J88" s="79" t="s">
        <v>264</v>
      </c>
      <c r="K88" s="98">
        <v>83.07</v>
      </c>
      <c r="L88" s="98"/>
      <c r="M88" s="169">
        <f>IF(ISBLANK(Ckreg14_15[[#This Row],[Withdrawal]]),M87+Ckreg14_15[[#This Row],[Deposit]],M87-Ckreg14_15[[#This Row],[Withdrawal]])</f>
        <v>8933.3299999999799</v>
      </c>
      <c r="N88" s="73">
        <v>42192</v>
      </c>
      <c r="O88" s="83"/>
      <c r="Q88" s="85"/>
      <c r="R88" s="85"/>
    </row>
    <row r="89" spans="7:18" s="96" customFormat="1" x14ac:dyDescent="0.3">
      <c r="G89" s="79"/>
      <c r="H89" s="78">
        <v>42185</v>
      </c>
      <c r="I89" s="81" t="s">
        <v>261</v>
      </c>
      <c r="J89" s="79" t="s">
        <v>91</v>
      </c>
      <c r="K89" s="98"/>
      <c r="L89" s="98">
        <v>0.37</v>
      </c>
      <c r="M89" s="169">
        <f>IF(ISBLANK(Ckreg14_15[[#This Row],[Withdrawal]]),M88+Ckreg14_15[[#This Row],[Deposit]],M88-Ckreg14_15[[#This Row],[Withdrawal]])</f>
        <v>8933.6999999999807</v>
      </c>
      <c r="N89" s="73">
        <v>42185</v>
      </c>
      <c r="O89" s="83" t="s">
        <v>343</v>
      </c>
      <c r="Q89" s="85"/>
      <c r="R89" s="85"/>
    </row>
    <row r="90" spans="7:18" s="96" customFormat="1" x14ac:dyDescent="0.3">
      <c r="G90" s="79"/>
      <c r="H90" s="78">
        <v>42188</v>
      </c>
      <c r="I90" s="79" t="s">
        <v>383</v>
      </c>
      <c r="J90" s="79" t="s">
        <v>44</v>
      </c>
      <c r="K90" s="98"/>
      <c r="L90" s="98">
        <v>104.5</v>
      </c>
      <c r="M90" s="169">
        <f>IF(ISBLANK(Ckreg14_15[[#This Row],[Withdrawal]]),M89+Ckreg14_15[[#This Row],[Deposit]],M89-Ckreg14_15[[#This Row],[Withdrawal]])</f>
        <v>9038.1999999999807</v>
      </c>
      <c r="N90" s="73">
        <v>42188</v>
      </c>
      <c r="O90" s="83" t="s">
        <v>343</v>
      </c>
      <c r="Q90" s="85"/>
      <c r="R90" s="85"/>
    </row>
    <row r="91" spans="7:18" s="96" customFormat="1" x14ac:dyDescent="0.3">
      <c r="G91" s="79">
        <v>3224</v>
      </c>
      <c r="H91" s="78">
        <v>42194</v>
      </c>
      <c r="I91" s="79" t="s">
        <v>133</v>
      </c>
      <c r="J91" s="79" t="s">
        <v>65</v>
      </c>
      <c r="K91" s="98">
        <v>100</v>
      </c>
      <c r="L91" s="98"/>
      <c r="M91" s="169">
        <f>IF(ISBLANK(Ckreg14_15[[#This Row],[Withdrawal]]),M90+Ckreg14_15[[#This Row],[Deposit]],M90-Ckreg14_15[[#This Row],[Withdrawal]])</f>
        <v>8938.1999999999807</v>
      </c>
      <c r="N91" s="73">
        <v>42208</v>
      </c>
      <c r="O91" s="83"/>
      <c r="Q91" s="85"/>
      <c r="R91" s="85"/>
    </row>
    <row r="92" spans="7:18" s="96" customFormat="1" x14ac:dyDescent="0.3">
      <c r="G92" s="79">
        <v>3225</v>
      </c>
      <c r="H92" s="78">
        <v>42194</v>
      </c>
      <c r="I92" s="79" t="s">
        <v>92</v>
      </c>
      <c r="J92" s="79" t="s">
        <v>43</v>
      </c>
      <c r="K92" s="98">
        <v>25</v>
      </c>
      <c r="L92" s="98"/>
      <c r="M92" s="169">
        <f>IF(ISBLANK(Ckreg14_15[[#This Row],[Withdrawal]]),M91+Ckreg14_15[[#This Row],[Deposit]],M91-Ckreg14_15[[#This Row],[Withdrawal]])</f>
        <v>8913.1999999999807</v>
      </c>
      <c r="N92" s="73">
        <v>42227</v>
      </c>
      <c r="O92" s="83"/>
      <c r="Q92" s="85"/>
      <c r="R92" s="85"/>
    </row>
    <row r="93" spans="7:18" s="96" customFormat="1" x14ac:dyDescent="0.3">
      <c r="G93" s="79">
        <v>3226</v>
      </c>
      <c r="H93" s="78">
        <v>42214</v>
      </c>
      <c r="I93" s="79" t="s">
        <v>278</v>
      </c>
      <c r="J93" s="79" t="s">
        <v>67</v>
      </c>
      <c r="K93" s="98">
        <v>330.06</v>
      </c>
      <c r="L93" s="98"/>
      <c r="M93" s="169">
        <f>IF(ISBLANK(Ckreg14_15[[#This Row],[Withdrawal]]),M92+Ckreg14_15[[#This Row],[Deposit]],M92-Ckreg14_15[[#This Row],[Withdrawal]])</f>
        <v>8583.1399999999812</v>
      </c>
      <c r="N93" s="73">
        <v>42220</v>
      </c>
      <c r="O93" s="83"/>
      <c r="Q93" s="85"/>
      <c r="R93" s="85"/>
    </row>
    <row r="94" spans="7:18" s="96" customFormat="1" x14ac:dyDescent="0.3">
      <c r="G94" s="79"/>
      <c r="H94" s="78">
        <v>42216</v>
      </c>
      <c r="I94" s="81" t="s">
        <v>261</v>
      </c>
      <c r="J94" s="79" t="s">
        <v>91</v>
      </c>
      <c r="K94" s="98"/>
      <c r="L94" s="98">
        <v>0.38</v>
      </c>
      <c r="M94" s="169">
        <f>IF(ISBLANK(Ckreg14_15[[#This Row],[Withdrawal]]),M93+Ckreg14_15[[#This Row],[Deposit]],M93-Ckreg14_15[[#This Row],[Withdrawal]])</f>
        <v>8583.5199999999804</v>
      </c>
      <c r="N94" s="73">
        <v>42216</v>
      </c>
      <c r="O94" s="83" t="s">
        <v>343</v>
      </c>
      <c r="Q94" s="85"/>
      <c r="R94" s="85"/>
    </row>
    <row r="95" spans="7:18" s="96" customFormat="1" x14ac:dyDescent="0.3">
      <c r="G95" s="79">
        <v>3327</v>
      </c>
      <c r="H95" s="78">
        <v>42216</v>
      </c>
      <c r="I95" s="79" t="s">
        <v>256</v>
      </c>
      <c r="J95" s="79"/>
      <c r="K95" s="98"/>
      <c r="L95" s="98"/>
      <c r="M95" s="169">
        <f>IF(ISBLANK(Ckreg14_15[[#This Row],[Withdrawal]]),M94+Ckreg14_15[[#This Row],[Deposit]],M94-Ckreg14_15[[#This Row],[Withdrawal]])</f>
        <v>8583.5199999999804</v>
      </c>
      <c r="N95" s="73">
        <v>42215</v>
      </c>
      <c r="O95" s="83"/>
      <c r="Q95" s="85"/>
      <c r="R95" s="85"/>
    </row>
    <row r="96" spans="7:18" s="96" customFormat="1" x14ac:dyDescent="0.3">
      <c r="G96" s="79">
        <v>3228</v>
      </c>
      <c r="H96" s="78">
        <v>42217</v>
      </c>
      <c r="I96" s="79" t="s">
        <v>92</v>
      </c>
      <c r="J96" s="79" t="s">
        <v>43</v>
      </c>
      <c r="K96" s="98">
        <v>25</v>
      </c>
      <c r="L96" s="98"/>
      <c r="M96" s="169">
        <f>IF(ISBLANK(Ckreg14_15[[#This Row],[Withdrawal]]),M95+Ckreg14_15[[#This Row],[Deposit]],M95-Ckreg14_15[[#This Row],[Withdrawal]])</f>
        <v>8558.5199999999804</v>
      </c>
      <c r="N96" s="73">
        <v>42283</v>
      </c>
      <c r="O96" s="83"/>
      <c r="Q96" s="85"/>
      <c r="R96" s="85"/>
    </row>
    <row r="97" spans="7:18" s="96" customFormat="1" x14ac:dyDescent="0.3">
      <c r="G97" s="79">
        <v>3229</v>
      </c>
      <c r="H97" s="78">
        <v>42217</v>
      </c>
      <c r="I97" s="79" t="s">
        <v>256</v>
      </c>
      <c r="J97" s="79"/>
      <c r="K97" s="98"/>
      <c r="L97" s="98"/>
      <c r="M97" s="169">
        <f>IF(ISBLANK(Ckreg14_15[[#This Row],[Withdrawal]]),M96+Ckreg14_15[[#This Row],[Deposit]],M96-Ckreg14_15[[#This Row],[Withdrawal]])</f>
        <v>8558.5199999999804</v>
      </c>
      <c r="N97" s="73">
        <v>42277</v>
      </c>
      <c r="O97" s="83"/>
      <c r="Q97" s="85"/>
      <c r="R97" s="85"/>
    </row>
    <row r="98" spans="7:18" s="96" customFormat="1" x14ac:dyDescent="0.3">
      <c r="G98" s="79">
        <v>3230</v>
      </c>
      <c r="H98" s="78">
        <v>42217</v>
      </c>
      <c r="I98" s="79" t="s">
        <v>279</v>
      </c>
      <c r="J98" s="79" t="s">
        <v>43</v>
      </c>
      <c r="K98" s="98">
        <v>50</v>
      </c>
      <c r="L98" s="98"/>
      <c r="M98" s="169">
        <f>IF(ISBLANK(Ckreg14_15[[#This Row],[Withdrawal]]),M97+Ckreg14_15[[#This Row],[Deposit]],M97-Ckreg14_15[[#This Row],[Withdrawal]])</f>
        <v>8508.5199999999804</v>
      </c>
      <c r="N98" s="73">
        <v>42227</v>
      </c>
      <c r="O98" s="83"/>
      <c r="Q98" s="85"/>
      <c r="R98" s="85"/>
    </row>
    <row r="99" spans="7:18" s="96" customFormat="1" x14ac:dyDescent="0.3">
      <c r="G99" s="79">
        <v>3231</v>
      </c>
      <c r="H99" s="78">
        <v>42217</v>
      </c>
      <c r="I99" s="79" t="s">
        <v>172</v>
      </c>
      <c r="J99" s="79" t="s">
        <v>52</v>
      </c>
      <c r="K99" s="98">
        <v>9.5</v>
      </c>
      <c r="L99" s="98"/>
      <c r="M99" s="169">
        <f>IF(ISBLANK(Ckreg14_15[[#This Row],[Withdrawal]]),M98+Ckreg14_15[[#This Row],[Deposit]],M98-Ckreg14_15[[#This Row],[Withdrawal]])</f>
        <v>8499.0199999999804</v>
      </c>
      <c r="N99" s="73"/>
      <c r="O99" s="83"/>
      <c r="Q99" s="85"/>
      <c r="R99" s="85"/>
    </row>
    <row r="100" spans="7:18" s="96" customFormat="1" x14ac:dyDescent="0.3">
      <c r="G100" s="79">
        <v>3231</v>
      </c>
      <c r="H100" s="78">
        <v>42217</v>
      </c>
      <c r="I100" s="79" t="s">
        <v>172</v>
      </c>
      <c r="J100" s="79" t="s">
        <v>67</v>
      </c>
      <c r="K100" s="98">
        <v>9.6199999999999992</v>
      </c>
      <c r="L100" s="98"/>
      <c r="M100" s="169">
        <f>IF(ISBLANK(Ckreg14_15[[#This Row],[Withdrawal]]),M99+Ckreg14_15[[#This Row],[Deposit]],M99-Ckreg14_15[[#This Row],[Withdrawal]])</f>
        <v>8489.3999999999796</v>
      </c>
      <c r="N100" s="73"/>
      <c r="O100" s="83"/>
      <c r="Q100" s="85"/>
      <c r="R100" s="85"/>
    </row>
    <row r="101" spans="7:18" s="96" customFormat="1" x14ac:dyDescent="0.3">
      <c r="G101" s="79">
        <v>3232</v>
      </c>
      <c r="H101" s="78">
        <v>42217</v>
      </c>
      <c r="I101" s="79" t="s">
        <v>281</v>
      </c>
      <c r="J101" s="79" t="s">
        <v>44</v>
      </c>
      <c r="K101" s="98">
        <v>37.200000000000003</v>
      </c>
      <c r="L101" s="98"/>
      <c r="M101" s="169">
        <f>IF(ISBLANK(Ckreg14_15[[#This Row],[Withdrawal]]),M100+Ckreg14_15[[#This Row],[Deposit]],M100-Ckreg14_15[[#This Row],[Withdrawal]])</f>
        <v>8452.1999999999789</v>
      </c>
      <c r="N101" s="73">
        <v>42233</v>
      </c>
      <c r="O101" s="83"/>
      <c r="Q101" s="85"/>
      <c r="R101" s="85"/>
    </row>
    <row r="102" spans="7:18" s="96" customFormat="1" x14ac:dyDescent="0.3">
      <c r="G102" s="79">
        <v>3232</v>
      </c>
      <c r="H102" s="78">
        <v>42217</v>
      </c>
      <c r="I102" s="79" t="s">
        <v>282</v>
      </c>
      <c r="J102" s="79" t="s">
        <v>263</v>
      </c>
      <c r="K102" s="98">
        <v>77</v>
      </c>
      <c r="L102" s="98"/>
      <c r="M102" s="169">
        <f>IF(ISBLANK(Ckreg14_15[[#This Row],[Withdrawal]]),M101+Ckreg14_15[[#This Row],[Deposit]],M101-Ckreg14_15[[#This Row],[Withdrawal]])</f>
        <v>8375.1999999999789</v>
      </c>
      <c r="N102" s="73">
        <v>42233</v>
      </c>
      <c r="O102" s="83"/>
      <c r="Q102" s="85"/>
      <c r="R102" s="85"/>
    </row>
    <row r="103" spans="7:18" s="96" customFormat="1" x14ac:dyDescent="0.3">
      <c r="G103" s="79"/>
      <c r="H103" s="78">
        <v>42217</v>
      </c>
      <c r="I103" s="79" t="s">
        <v>242</v>
      </c>
      <c r="J103" s="79" t="s">
        <v>32</v>
      </c>
      <c r="K103" s="98"/>
      <c r="L103" s="98">
        <v>145</v>
      </c>
      <c r="M103" s="169">
        <f>IF(ISBLANK(Ckreg14_15[[#This Row],[Withdrawal]]),M102+Ckreg14_15[[#This Row],[Deposit]],M102-Ckreg14_15[[#This Row],[Withdrawal]])</f>
        <v>8520.1999999999789</v>
      </c>
      <c r="N103" s="73">
        <v>42220</v>
      </c>
      <c r="O103" s="83"/>
      <c r="Q103" s="85"/>
      <c r="R103" s="85"/>
    </row>
    <row r="104" spans="7:18" s="96" customFormat="1" x14ac:dyDescent="0.3">
      <c r="G104" s="79"/>
      <c r="H104" s="78">
        <v>42217</v>
      </c>
      <c r="I104" s="79" t="s">
        <v>242</v>
      </c>
      <c r="J104" s="79" t="s">
        <v>32</v>
      </c>
      <c r="K104" s="98"/>
      <c r="L104" s="98">
        <v>56</v>
      </c>
      <c r="M104" s="169">
        <f>IF(ISBLANK(Ckreg14_15[[#This Row],[Withdrawal]]),M103+Ckreg14_15[[#This Row],[Deposit]],M103-Ckreg14_15[[#This Row],[Withdrawal]])</f>
        <v>8576.1999999999789</v>
      </c>
      <c r="N104" s="73">
        <v>42220</v>
      </c>
      <c r="O104" s="83" t="s">
        <v>343</v>
      </c>
      <c r="Q104" s="85"/>
      <c r="R104" s="85"/>
    </row>
    <row r="105" spans="7:18" s="96" customFormat="1" x14ac:dyDescent="0.3">
      <c r="G105" s="79"/>
      <c r="H105" s="78">
        <v>42217</v>
      </c>
      <c r="I105" s="79" t="s">
        <v>294</v>
      </c>
      <c r="J105" s="79" t="s">
        <v>74</v>
      </c>
      <c r="K105" s="98"/>
      <c r="L105" s="98">
        <v>234</v>
      </c>
      <c r="M105" s="169">
        <f>IF(ISBLANK(Ckreg14_15[[#This Row],[Withdrawal]]),M104+Ckreg14_15[[#This Row],[Deposit]],M104-Ckreg14_15[[#This Row],[Withdrawal]])</f>
        <v>8810.1999999999789</v>
      </c>
      <c r="N105" s="73">
        <v>42220</v>
      </c>
      <c r="O105" s="83"/>
      <c r="Q105" s="85"/>
      <c r="R105" s="85"/>
    </row>
    <row r="106" spans="7:18" s="96" customFormat="1" x14ac:dyDescent="0.3">
      <c r="G106" s="79">
        <v>3233</v>
      </c>
      <c r="H106" s="78">
        <v>42234</v>
      </c>
      <c r="I106" s="79" t="s">
        <v>283</v>
      </c>
      <c r="J106" s="79" t="s">
        <v>67</v>
      </c>
      <c r="K106" s="98">
        <v>54.49</v>
      </c>
      <c r="L106" s="98"/>
      <c r="M106" s="169">
        <f>IF(ISBLANK(Ckreg14_15[[#This Row],[Withdrawal]]),M105+Ckreg14_15[[#This Row],[Deposit]],M105-Ckreg14_15[[#This Row],[Withdrawal]])</f>
        <v>8755.7099999999791</v>
      </c>
      <c r="N106" s="73">
        <v>42236</v>
      </c>
      <c r="O106" s="83"/>
      <c r="Q106" s="85"/>
      <c r="R106" s="85"/>
    </row>
    <row r="107" spans="7:18" s="96" customFormat="1" x14ac:dyDescent="0.3">
      <c r="G107" s="79">
        <v>3234</v>
      </c>
      <c r="H107" s="78">
        <v>42234</v>
      </c>
      <c r="I107" s="79" t="s">
        <v>172</v>
      </c>
      <c r="J107" s="79" t="s">
        <v>67</v>
      </c>
      <c r="K107" s="98">
        <v>121.71</v>
      </c>
      <c r="L107" s="98"/>
      <c r="M107" s="169">
        <f>IF(ISBLANK(Ckreg14_15[[#This Row],[Withdrawal]]),M106+Ckreg14_15[[#This Row],[Deposit]],M106-Ckreg14_15[[#This Row],[Withdrawal]])</f>
        <v>8633.99999999998</v>
      </c>
      <c r="N107" s="73">
        <v>42241</v>
      </c>
      <c r="O107" s="83"/>
      <c r="Q107" s="85"/>
      <c r="R107" s="85"/>
    </row>
    <row r="108" spans="7:18" s="96" customFormat="1" x14ac:dyDescent="0.3">
      <c r="G108" s="79">
        <v>3235</v>
      </c>
      <c r="H108" s="78">
        <v>42234</v>
      </c>
      <c r="I108" s="79" t="s">
        <v>279</v>
      </c>
      <c r="J108" s="79" t="s">
        <v>43</v>
      </c>
      <c r="K108" s="98">
        <v>25</v>
      </c>
      <c r="L108" s="98"/>
      <c r="M108" s="169">
        <f>IF(ISBLANK(Ckreg14_15[[#This Row],[Withdrawal]]),M107+Ckreg14_15[[#This Row],[Deposit]],M107-Ckreg14_15[[#This Row],[Withdrawal]])</f>
        <v>8608.99999999998</v>
      </c>
      <c r="N108" s="73">
        <v>42283</v>
      </c>
      <c r="O108" s="83"/>
      <c r="Q108" s="85"/>
      <c r="R108" s="85"/>
    </row>
    <row r="109" spans="7:18" s="96" customFormat="1" x14ac:dyDescent="0.3">
      <c r="G109" s="79">
        <v>3236</v>
      </c>
      <c r="H109" s="78">
        <v>42234</v>
      </c>
      <c r="I109" s="79" t="s">
        <v>131</v>
      </c>
      <c r="J109" s="79" t="s">
        <v>62</v>
      </c>
      <c r="K109" s="98">
        <v>100</v>
      </c>
      <c r="L109" s="98"/>
      <c r="M109" s="169">
        <f>IF(ISBLANK(Ckreg14_15[[#This Row],[Withdrawal]]),M108+Ckreg14_15[[#This Row],[Deposit]],M108-Ckreg14_15[[#This Row],[Withdrawal]])</f>
        <v>8508.99999999998</v>
      </c>
      <c r="N109" s="73">
        <v>42237</v>
      </c>
      <c r="O109" s="83"/>
      <c r="Q109" s="85"/>
      <c r="R109" s="85"/>
    </row>
    <row r="110" spans="7:18" s="96" customFormat="1" x14ac:dyDescent="0.3">
      <c r="G110" s="79">
        <v>3237</v>
      </c>
      <c r="H110" s="78">
        <v>42234</v>
      </c>
      <c r="I110" s="79" t="s">
        <v>284</v>
      </c>
      <c r="J110" s="79" t="s">
        <v>67</v>
      </c>
      <c r="K110" s="98">
        <v>150</v>
      </c>
      <c r="L110" s="98"/>
      <c r="M110" s="169">
        <f>IF(ISBLANK(Ckreg14_15[[#This Row],[Withdrawal]]),M109+Ckreg14_15[[#This Row],[Deposit]],M109-Ckreg14_15[[#This Row],[Withdrawal]])</f>
        <v>8358.99999999998</v>
      </c>
      <c r="N110" s="73">
        <v>42256</v>
      </c>
      <c r="O110" s="83"/>
      <c r="Q110" s="85"/>
      <c r="R110" s="85"/>
    </row>
    <row r="111" spans="7:18" s="96" customFormat="1" x14ac:dyDescent="0.3">
      <c r="G111" s="79">
        <v>3238</v>
      </c>
      <c r="H111" s="78">
        <v>42242</v>
      </c>
      <c r="I111" s="79" t="s">
        <v>283</v>
      </c>
      <c r="J111" s="79" t="s">
        <v>67</v>
      </c>
      <c r="K111" s="98">
        <v>21.68</v>
      </c>
      <c r="L111" s="98"/>
      <c r="M111" s="169">
        <f>IF(ISBLANK(Ckreg14_15[[#This Row],[Withdrawal]]),M110+Ckreg14_15[[#This Row],[Deposit]],M110-Ckreg14_15[[#This Row],[Withdrawal]])</f>
        <v>8337.3199999999797</v>
      </c>
      <c r="N111" s="73">
        <v>42244</v>
      </c>
      <c r="O111" s="83"/>
      <c r="Q111" s="85"/>
      <c r="R111" s="85"/>
    </row>
    <row r="112" spans="7:18" s="96" customFormat="1" x14ac:dyDescent="0.3">
      <c r="G112" s="79">
        <v>3239</v>
      </c>
      <c r="H112" s="78">
        <v>42244</v>
      </c>
      <c r="I112" s="79" t="s">
        <v>285</v>
      </c>
      <c r="J112" s="79" t="s">
        <v>74</v>
      </c>
      <c r="K112" s="98">
        <v>108.28</v>
      </c>
      <c r="L112" s="98"/>
      <c r="M112" s="169">
        <f>IF(ISBLANK(Ckreg14_15[[#This Row],[Withdrawal]]),M111+Ckreg14_15[[#This Row],[Deposit]],M111-Ckreg14_15[[#This Row],[Withdrawal]])</f>
        <v>8229.039999999979</v>
      </c>
      <c r="N112" s="73">
        <v>42247</v>
      </c>
      <c r="O112" s="83"/>
      <c r="Q112" s="85"/>
      <c r="R112" s="85"/>
    </row>
    <row r="113" spans="7:18" s="96" customFormat="1" x14ac:dyDescent="0.3">
      <c r="G113" s="79"/>
      <c r="H113" s="78">
        <v>42247</v>
      </c>
      <c r="I113" s="79" t="s">
        <v>261</v>
      </c>
      <c r="J113" s="79" t="s">
        <v>91</v>
      </c>
      <c r="K113" s="98"/>
      <c r="L113" s="98">
        <v>0.37</v>
      </c>
      <c r="M113" s="169">
        <f>IF(ISBLANK(Ckreg14_15[[#This Row],[Withdrawal]]),M112+Ckreg14_15[[#This Row],[Deposit]],M112-Ckreg14_15[[#This Row],[Withdrawal]])</f>
        <v>8229.4099999999798</v>
      </c>
      <c r="N113" s="73">
        <v>42247</v>
      </c>
      <c r="O113" s="83" t="s">
        <v>343</v>
      </c>
      <c r="Q113" s="85"/>
      <c r="R113" s="85"/>
    </row>
    <row r="114" spans="7:18" s="96" customFormat="1" x14ac:dyDescent="0.3">
      <c r="G114" s="79">
        <v>2340</v>
      </c>
      <c r="H114" s="78">
        <v>42249</v>
      </c>
      <c r="I114" s="79" t="s">
        <v>286</v>
      </c>
      <c r="J114" s="79" t="s">
        <v>67</v>
      </c>
      <c r="K114" s="98">
        <v>259.93</v>
      </c>
      <c r="L114" s="98"/>
      <c r="M114" s="169">
        <f>IF(ISBLANK(Ckreg14_15[[#This Row],[Withdrawal]]),M113+Ckreg14_15[[#This Row],[Deposit]],M113-Ckreg14_15[[#This Row],[Withdrawal]])</f>
        <v>7969.4799999999796</v>
      </c>
      <c r="N114" s="73">
        <v>42251</v>
      </c>
      <c r="O114" s="83"/>
      <c r="Q114" s="85"/>
      <c r="R114" s="85"/>
    </row>
    <row r="115" spans="7:18" s="96" customFormat="1" x14ac:dyDescent="0.3">
      <c r="G115" s="79"/>
      <c r="H115" s="78">
        <v>42251</v>
      </c>
      <c r="I115" s="79" t="s">
        <v>300</v>
      </c>
      <c r="J115" s="79" t="s">
        <v>61</v>
      </c>
      <c r="K115" s="98"/>
      <c r="L115" s="98">
        <v>92</v>
      </c>
      <c r="M115" s="169">
        <f>IF(ISBLANK(Ckreg14_15[[#This Row],[Withdrawal]]),M114+Ckreg14_15[[#This Row],[Deposit]],M114-Ckreg14_15[[#This Row],[Withdrawal]])</f>
        <v>8061.4799999999796</v>
      </c>
      <c r="N115" s="73">
        <v>42251</v>
      </c>
      <c r="O115" s="83"/>
      <c r="Q115" s="85"/>
      <c r="R115" s="85"/>
    </row>
    <row r="116" spans="7:18" s="96" customFormat="1" x14ac:dyDescent="0.3">
      <c r="G116" s="79">
        <v>2341</v>
      </c>
      <c r="H116" s="78">
        <v>42253</v>
      </c>
      <c r="I116" s="79" t="s">
        <v>287</v>
      </c>
      <c r="J116" s="79" t="s">
        <v>66</v>
      </c>
      <c r="K116" s="98">
        <v>23.6</v>
      </c>
      <c r="L116" s="98"/>
      <c r="M116" s="169">
        <f>IF(ISBLANK(Ckreg14_15[[#This Row],[Withdrawal]]),M115+Ckreg14_15[[#This Row],[Deposit]],M115-Ckreg14_15[[#This Row],[Withdrawal]])</f>
        <v>8037.8799999999792</v>
      </c>
      <c r="N116" s="73">
        <v>42255</v>
      </c>
      <c r="O116" s="83"/>
      <c r="Q116" s="85"/>
      <c r="R116" s="85"/>
    </row>
    <row r="117" spans="7:18" s="96" customFormat="1" x14ac:dyDescent="0.3">
      <c r="G117" s="79">
        <v>2342</v>
      </c>
      <c r="H117" s="78">
        <v>42255</v>
      </c>
      <c r="I117" s="79" t="s">
        <v>325</v>
      </c>
      <c r="J117" s="79" t="s">
        <v>73</v>
      </c>
      <c r="K117" s="98">
        <v>250</v>
      </c>
      <c r="L117" s="98"/>
      <c r="M117" s="169">
        <f>IF(ISBLANK(Ckreg14_15[[#This Row],[Withdrawal]]),M116+Ckreg14_15[[#This Row],[Deposit]],M116-Ckreg14_15[[#This Row],[Withdrawal]])</f>
        <v>7787.8799999999792</v>
      </c>
      <c r="N117" s="73">
        <v>42255</v>
      </c>
      <c r="O117" s="83"/>
      <c r="Q117" s="85"/>
      <c r="R117" s="85"/>
    </row>
    <row r="118" spans="7:18" s="96" customFormat="1" x14ac:dyDescent="0.3">
      <c r="G118" s="79">
        <v>3243</v>
      </c>
      <c r="H118" s="78">
        <v>42256</v>
      </c>
      <c r="I118" s="79" t="s">
        <v>288</v>
      </c>
      <c r="J118" s="79" t="s">
        <v>66</v>
      </c>
      <c r="K118" s="98">
        <v>1011.22</v>
      </c>
      <c r="L118" s="98"/>
      <c r="M118" s="169">
        <f>IF(ISBLANK(Ckreg14_15[[#This Row],[Withdrawal]]),M117+Ckreg14_15[[#This Row],[Deposit]],M117-Ckreg14_15[[#This Row],[Withdrawal]])</f>
        <v>6776.6599999999789</v>
      </c>
      <c r="N118" s="73">
        <v>42258</v>
      </c>
      <c r="O118" s="83"/>
      <c r="Q118" s="85"/>
      <c r="R118" s="85"/>
    </row>
    <row r="119" spans="7:18" s="96" customFormat="1" x14ac:dyDescent="0.3">
      <c r="G119" s="79">
        <v>3244</v>
      </c>
      <c r="H119" s="78">
        <v>42256</v>
      </c>
      <c r="I119" s="79" t="s">
        <v>289</v>
      </c>
      <c r="J119" s="79" t="s">
        <v>66</v>
      </c>
      <c r="K119" s="98">
        <v>21.16</v>
      </c>
      <c r="L119" s="98"/>
      <c r="M119" s="169">
        <f>IF(ISBLANK(Ckreg14_15[[#This Row],[Withdrawal]]),M118+Ckreg14_15[[#This Row],[Deposit]],M118-Ckreg14_15[[#This Row],[Withdrawal]])</f>
        <v>6755.4999999999791</v>
      </c>
      <c r="N119" s="73">
        <v>42258</v>
      </c>
      <c r="O119" s="83"/>
      <c r="Q119" s="85"/>
      <c r="R119" s="85"/>
    </row>
    <row r="120" spans="7:18" s="96" customFormat="1" x14ac:dyDescent="0.3">
      <c r="G120" s="79">
        <v>3245</v>
      </c>
      <c r="H120" s="78">
        <v>42256</v>
      </c>
      <c r="I120" s="79" t="s">
        <v>290</v>
      </c>
      <c r="J120" s="79" t="s">
        <v>66</v>
      </c>
      <c r="K120" s="98">
        <v>9.9499999999999993</v>
      </c>
      <c r="L120" s="98"/>
      <c r="M120" s="169">
        <f>IF(ISBLANK(Ckreg14_15[[#This Row],[Withdrawal]]),M119+Ckreg14_15[[#This Row],[Deposit]],M119-Ckreg14_15[[#This Row],[Withdrawal]])</f>
        <v>6745.5499999999793</v>
      </c>
      <c r="N120" s="73">
        <v>42258</v>
      </c>
      <c r="O120" s="83"/>
      <c r="Q120" s="85"/>
      <c r="R120" s="85"/>
    </row>
    <row r="121" spans="7:18" s="96" customFormat="1" x14ac:dyDescent="0.3">
      <c r="G121" s="79">
        <v>3246</v>
      </c>
      <c r="H121" s="78">
        <v>42256</v>
      </c>
      <c r="I121" s="79" t="s">
        <v>203</v>
      </c>
      <c r="J121" s="79" t="s">
        <v>66</v>
      </c>
      <c r="K121" s="98">
        <v>19.88</v>
      </c>
      <c r="L121" s="98"/>
      <c r="M121" s="169">
        <f>IF(ISBLANK(Ckreg14_15[[#This Row],[Withdrawal]]),M120+Ckreg14_15[[#This Row],[Deposit]],M120-Ckreg14_15[[#This Row],[Withdrawal]])</f>
        <v>6725.6699999999792</v>
      </c>
      <c r="N121" s="73">
        <v>42257</v>
      </c>
      <c r="O121" s="83"/>
      <c r="Q121" s="85"/>
      <c r="R121" s="85"/>
    </row>
    <row r="122" spans="7:18" s="96" customFormat="1" x14ac:dyDescent="0.3">
      <c r="G122" s="79">
        <v>3247</v>
      </c>
      <c r="H122" s="78">
        <v>42257</v>
      </c>
      <c r="I122" s="79" t="s">
        <v>203</v>
      </c>
      <c r="J122" s="79" t="s">
        <v>66</v>
      </c>
      <c r="K122" s="98">
        <v>125.9</v>
      </c>
      <c r="L122" s="98"/>
      <c r="M122" s="169">
        <f>IF(ISBLANK(Ckreg14_15[[#This Row],[Withdrawal]]),M121+Ckreg14_15[[#This Row],[Deposit]],M121-Ckreg14_15[[#This Row],[Withdrawal]])</f>
        <v>6599.7699999999795</v>
      </c>
      <c r="N122" s="73">
        <v>42258</v>
      </c>
      <c r="O122" s="83"/>
      <c r="Q122" s="85"/>
      <c r="R122" s="85"/>
    </row>
    <row r="123" spans="7:18" s="96" customFormat="1" x14ac:dyDescent="0.3">
      <c r="G123" s="79"/>
      <c r="H123" s="78">
        <v>42258</v>
      </c>
      <c r="I123" s="79" t="s">
        <v>324</v>
      </c>
      <c r="J123" s="79" t="s">
        <v>68</v>
      </c>
      <c r="K123" s="98">
        <v>140</v>
      </c>
      <c r="L123" s="98"/>
      <c r="M123" s="169">
        <f>IF(ISBLANK(Ckreg14_15[[#This Row],[Withdrawal]]),M122+Ckreg14_15[[#This Row],[Deposit]],M122-Ckreg14_15[[#This Row],[Withdrawal]])</f>
        <v>6459.7699999999795</v>
      </c>
      <c r="N123" s="73">
        <v>42277</v>
      </c>
      <c r="O123" s="83"/>
      <c r="Q123" s="85"/>
      <c r="R123" s="85"/>
    </row>
    <row r="124" spans="7:18" s="96" customFormat="1" x14ac:dyDescent="0.3">
      <c r="G124" s="79">
        <v>3248</v>
      </c>
      <c r="H124" s="78">
        <v>42260</v>
      </c>
      <c r="I124" s="79" t="s">
        <v>291</v>
      </c>
      <c r="J124" s="79" t="s">
        <v>69</v>
      </c>
      <c r="K124" s="98">
        <v>5844</v>
      </c>
      <c r="L124" s="98"/>
      <c r="M124" s="169">
        <f>IF(ISBLANK(Ckreg14_15[[#This Row],[Withdrawal]]),M123+Ckreg14_15[[#This Row],[Deposit]],M123-Ckreg14_15[[#This Row],[Withdrawal]])</f>
        <v>615.76999999997952</v>
      </c>
      <c r="N124" s="73">
        <v>42263</v>
      </c>
      <c r="O124" s="83"/>
      <c r="Q124" s="85"/>
      <c r="R124" s="85"/>
    </row>
    <row r="125" spans="7:18" s="96" customFormat="1" x14ac:dyDescent="0.3">
      <c r="G125" s="79">
        <v>3249</v>
      </c>
      <c r="H125" s="78">
        <v>42260</v>
      </c>
      <c r="I125" s="79" t="s">
        <v>139</v>
      </c>
      <c r="J125" s="79" t="s">
        <v>66</v>
      </c>
      <c r="K125" s="98">
        <v>2901.8</v>
      </c>
      <c r="L125" s="98"/>
      <c r="M125" s="169">
        <f>IF(ISBLANK(Ckreg14_15[[#This Row],[Withdrawal]]),M124+Ckreg14_15[[#This Row],[Deposit]],M124-Ckreg14_15[[#This Row],[Withdrawal]])</f>
        <v>-2286.0300000000207</v>
      </c>
      <c r="N125" s="73">
        <v>42265</v>
      </c>
      <c r="O125" s="83"/>
      <c r="Q125" s="85"/>
      <c r="R125" s="85"/>
    </row>
    <row r="126" spans="7:18" s="96" customFormat="1" x14ac:dyDescent="0.3">
      <c r="G126" s="79"/>
      <c r="H126" s="78">
        <v>42260</v>
      </c>
      <c r="I126" s="79" t="s">
        <v>296</v>
      </c>
      <c r="J126" s="79" t="s">
        <v>61</v>
      </c>
      <c r="K126" s="98"/>
      <c r="L126" s="98">
        <v>9919</v>
      </c>
      <c r="M126" s="169">
        <f>IF(ISBLANK(Ckreg14_15[[#This Row],[Withdrawal]]),M125+Ckreg14_15[[#This Row],[Deposit]],M125-Ckreg14_15[[#This Row],[Withdrawal]])</f>
        <v>7632.9699999999793</v>
      </c>
      <c r="N126" s="73">
        <v>42277</v>
      </c>
      <c r="O126" s="83"/>
      <c r="Q126" s="85"/>
      <c r="R126" s="85"/>
    </row>
    <row r="127" spans="7:18" s="96" customFormat="1" x14ac:dyDescent="0.3">
      <c r="G127" s="79"/>
      <c r="H127" s="78">
        <v>42260</v>
      </c>
      <c r="I127" s="79" t="s">
        <v>295</v>
      </c>
      <c r="J127" s="79" t="s">
        <v>60</v>
      </c>
      <c r="K127" s="98"/>
      <c r="L127" s="98">
        <v>788</v>
      </c>
      <c r="M127" s="169">
        <f>IF(ISBLANK(Ckreg14_15[[#This Row],[Withdrawal]]),M126+Ckreg14_15[[#This Row],[Deposit]],M126-Ckreg14_15[[#This Row],[Withdrawal]])</f>
        <v>8420.9699999999793</v>
      </c>
      <c r="N127" s="73">
        <v>42277</v>
      </c>
      <c r="O127" s="83"/>
      <c r="Q127" s="85"/>
      <c r="R127" s="85"/>
    </row>
    <row r="128" spans="7:18" s="96" customFormat="1" x14ac:dyDescent="0.3">
      <c r="G128" s="79"/>
      <c r="H128" s="78">
        <v>42260</v>
      </c>
      <c r="I128" s="79" t="s">
        <v>297</v>
      </c>
      <c r="J128" s="79" t="s">
        <v>60</v>
      </c>
      <c r="K128" s="98"/>
      <c r="L128" s="98">
        <v>5523.1</v>
      </c>
      <c r="M128" s="169">
        <f>IF(ISBLANK(Ckreg14_15[[#This Row],[Withdrawal]]),M127+Ckreg14_15[[#This Row],[Deposit]],M127-Ckreg14_15[[#This Row],[Withdrawal]])</f>
        <v>13944.06999999998</v>
      </c>
      <c r="N128" s="73">
        <v>42277</v>
      </c>
      <c r="O128" s="83"/>
      <c r="Q128" s="85"/>
      <c r="R128" s="85"/>
    </row>
    <row r="129" spans="7:18" s="96" customFormat="1" x14ac:dyDescent="0.3">
      <c r="G129" s="79"/>
      <c r="H129" s="78">
        <v>42260</v>
      </c>
      <c r="I129" s="79" t="s">
        <v>298</v>
      </c>
      <c r="J129" s="79" t="s">
        <v>60</v>
      </c>
      <c r="K129" s="98">
        <v>250</v>
      </c>
      <c r="L129" s="98"/>
      <c r="M129" s="169">
        <f>IF(ISBLANK(Ckreg14_15[[#This Row],[Withdrawal]]),M128+Ckreg14_15[[#This Row],[Deposit]],M128-Ckreg14_15[[#This Row],[Withdrawal]])</f>
        <v>13694.06999999998</v>
      </c>
      <c r="N129" s="73">
        <v>42251</v>
      </c>
      <c r="O129" s="83"/>
      <c r="Q129" s="85"/>
      <c r="R129" s="85"/>
    </row>
    <row r="130" spans="7:18" s="96" customFormat="1" x14ac:dyDescent="0.3">
      <c r="G130" s="79"/>
      <c r="H130" s="78">
        <v>42260</v>
      </c>
      <c r="I130" s="79" t="s">
        <v>299</v>
      </c>
      <c r="J130" s="79" t="s">
        <v>61</v>
      </c>
      <c r="K130" s="98">
        <v>250</v>
      </c>
      <c r="L130" s="98"/>
      <c r="M130" s="169">
        <f>IF(ISBLANK(Ckreg14_15[[#This Row],[Withdrawal]]),M129+Ckreg14_15[[#This Row],[Deposit]],M129-Ckreg14_15[[#This Row],[Withdrawal]])</f>
        <v>13444.06999999998</v>
      </c>
      <c r="N130" s="73">
        <v>42251</v>
      </c>
      <c r="O130" s="83"/>
      <c r="Q130" s="85"/>
      <c r="R130" s="85"/>
    </row>
    <row r="131" spans="7:18" s="96" customFormat="1" x14ac:dyDescent="0.3">
      <c r="G131" s="79"/>
      <c r="H131" s="78">
        <v>42260</v>
      </c>
      <c r="I131" s="79" t="s">
        <v>301</v>
      </c>
      <c r="J131" s="79" t="s">
        <v>64</v>
      </c>
      <c r="K131" s="98">
        <v>47</v>
      </c>
      <c r="L131" s="98"/>
      <c r="M131" s="169">
        <f>IF(ISBLANK(Ckreg14_15[[#This Row],[Withdrawal]]),M130+Ckreg14_15[[#This Row],[Deposit]],M130-Ckreg14_15[[#This Row],[Withdrawal]])</f>
        <v>13397.06999999998</v>
      </c>
      <c r="N131" s="73">
        <v>42277</v>
      </c>
      <c r="O131" s="83"/>
      <c r="Q131" s="85"/>
      <c r="R131" s="85"/>
    </row>
    <row r="132" spans="7:18" s="96" customFormat="1" x14ac:dyDescent="0.3">
      <c r="G132" s="79"/>
      <c r="H132" s="78">
        <v>42260</v>
      </c>
      <c r="I132" s="79" t="s">
        <v>302</v>
      </c>
      <c r="J132" s="79" t="s">
        <v>60</v>
      </c>
      <c r="K132" s="98"/>
      <c r="L132" s="98">
        <v>47</v>
      </c>
      <c r="M132" s="169">
        <f>IF(ISBLANK(Ckreg14_15[[#This Row],[Withdrawal]]),M131+Ckreg14_15[[#This Row],[Deposit]],M131-Ckreg14_15[[#This Row],[Withdrawal]])</f>
        <v>13444.06999999998</v>
      </c>
      <c r="N132" s="73">
        <v>42277</v>
      </c>
      <c r="O132" s="83"/>
      <c r="Q132" s="85"/>
      <c r="R132" s="85"/>
    </row>
    <row r="133" spans="7:18" s="96" customFormat="1" x14ac:dyDescent="0.3">
      <c r="G133" s="79"/>
      <c r="H133" s="78">
        <v>42260</v>
      </c>
      <c r="I133" s="79" t="s">
        <v>304</v>
      </c>
      <c r="J133" s="79" t="s">
        <v>61</v>
      </c>
      <c r="K133" s="98"/>
      <c r="L133" s="98">
        <v>1110.5</v>
      </c>
      <c r="M133" s="169">
        <f>IF(ISBLANK(Ckreg14_15[[#This Row],[Withdrawal]]),M132+Ckreg14_15[[#This Row],[Deposit]],M132-Ckreg14_15[[#This Row],[Withdrawal]])</f>
        <v>14554.56999999998</v>
      </c>
      <c r="N133" s="73">
        <v>42277</v>
      </c>
      <c r="O133" s="83"/>
      <c r="Q133" s="85"/>
      <c r="R133" s="85"/>
    </row>
    <row r="134" spans="7:18" s="96" customFormat="1" x14ac:dyDescent="0.3">
      <c r="G134" s="79"/>
      <c r="H134" s="78">
        <v>42260</v>
      </c>
      <c r="I134" s="79" t="s">
        <v>305</v>
      </c>
      <c r="J134" s="79" t="s">
        <v>61</v>
      </c>
      <c r="K134" s="98"/>
      <c r="L134" s="98">
        <v>140</v>
      </c>
      <c r="M134" s="169">
        <f>IF(ISBLANK(Ckreg14_15[[#This Row],[Withdrawal]]),M133+Ckreg14_15[[#This Row],[Deposit]],M133-Ckreg14_15[[#This Row],[Withdrawal]])</f>
        <v>14694.56999999998</v>
      </c>
      <c r="N134" s="73">
        <v>42277</v>
      </c>
      <c r="O134" s="83"/>
      <c r="Q134" s="85"/>
      <c r="R134" s="85"/>
    </row>
    <row r="135" spans="7:18" s="96" customFormat="1" x14ac:dyDescent="0.3">
      <c r="G135" s="79"/>
      <c r="H135" s="78">
        <v>42260</v>
      </c>
      <c r="I135" s="79" t="s">
        <v>306</v>
      </c>
      <c r="J135" s="79" t="s">
        <v>61</v>
      </c>
      <c r="K135" s="98"/>
      <c r="L135" s="98">
        <v>105</v>
      </c>
      <c r="M135" s="169">
        <f>IF(ISBLANK(Ckreg14_15[[#This Row],[Withdrawal]]),M134+Ckreg14_15[[#This Row],[Deposit]],M134-Ckreg14_15[[#This Row],[Withdrawal]])</f>
        <v>14799.56999999998</v>
      </c>
      <c r="N135" s="73">
        <v>42277</v>
      </c>
      <c r="O135" s="83"/>
      <c r="Q135" s="85"/>
      <c r="R135" s="85"/>
    </row>
    <row r="136" spans="7:18" s="96" customFormat="1" x14ac:dyDescent="0.3">
      <c r="G136" s="79"/>
      <c r="H136" s="78">
        <v>42260</v>
      </c>
      <c r="I136" s="79" t="s">
        <v>306</v>
      </c>
      <c r="J136" s="79" t="s">
        <v>68</v>
      </c>
      <c r="K136" s="98">
        <v>105</v>
      </c>
      <c r="L136" s="98"/>
      <c r="M136" s="169">
        <f>IF(ISBLANK(Ckreg14_15[[#This Row],[Withdrawal]]),M135+Ckreg14_15[[#This Row],[Deposit]],M135-Ckreg14_15[[#This Row],[Withdrawal]])</f>
        <v>14694.56999999998</v>
      </c>
      <c r="N136" s="73">
        <v>42277</v>
      </c>
      <c r="O136" s="83"/>
      <c r="Q136" s="85"/>
      <c r="R136" s="85"/>
    </row>
    <row r="137" spans="7:18" s="96" customFormat="1" x14ac:dyDescent="0.3">
      <c r="G137" s="79">
        <v>3250</v>
      </c>
      <c r="H137" s="78">
        <v>42261</v>
      </c>
      <c r="I137" s="79" t="s">
        <v>137</v>
      </c>
      <c r="J137" s="79" t="s">
        <v>68</v>
      </c>
      <c r="K137" s="98">
        <v>400</v>
      </c>
      <c r="L137" s="98"/>
      <c r="M137" s="169">
        <f>IF(ISBLANK(Ckreg14_15[[#This Row],[Withdrawal]]),M136+Ckreg14_15[[#This Row],[Deposit]],M136-Ckreg14_15[[#This Row],[Withdrawal]])</f>
        <v>14294.56999999998</v>
      </c>
      <c r="N137" s="73">
        <v>42268</v>
      </c>
      <c r="O137" s="83"/>
      <c r="Q137" s="85"/>
      <c r="R137" s="85"/>
    </row>
    <row r="138" spans="7:18" s="96" customFormat="1" x14ac:dyDescent="0.3">
      <c r="G138" s="79">
        <v>3251</v>
      </c>
      <c r="H138" s="78">
        <v>42262</v>
      </c>
      <c r="I138" s="79" t="s">
        <v>292</v>
      </c>
      <c r="J138" s="79" t="s">
        <v>68</v>
      </c>
      <c r="K138" s="98">
        <v>50.2</v>
      </c>
      <c r="L138" s="98"/>
      <c r="M138" s="169">
        <f>IF(ISBLANK(Ckreg14_15[[#This Row],[Withdrawal]]),M137+Ckreg14_15[[#This Row],[Deposit]],M137-Ckreg14_15[[#This Row],[Withdrawal]])</f>
        <v>14244.369999999979</v>
      </c>
      <c r="N138" s="73">
        <v>42275</v>
      </c>
      <c r="O138" s="83"/>
      <c r="Q138" s="85"/>
      <c r="R138" s="85"/>
    </row>
    <row r="139" spans="7:18" s="96" customFormat="1" x14ac:dyDescent="0.3">
      <c r="G139" s="79">
        <v>3252</v>
      </c>
      <c r="H139" s="78">
        <v>42265</v>
      </c>
      <c r="I139" s="79" t="s">
        <v>293</v>
      </c>
      <c r="J139" s="79" t="s">
        <v>61</v>
      </c>
      <c r="K139" s="98">
        <v>190.02</v>
      </c>
      <c r="L139" s="98"/>
      <c r="M139" s="169">
        <f>IF(ISBLANK(Ckreg14_15[[#This Row],[Withdrawal]]),M138+Ckreg14_15[[#This Row],[Deposit]],M138-Ckreg14_15[[#This Row],[Withdrawal]])</f>
        <v>14054.349999999979</v>
      </c>
      <c r="N139" s="73">
        <v>42275</v>
      </c>
      <c r="O139" s="83"/>
      <c r="Q139" s="85"/>
      <c r="R139" s="85"/>
    </row>
    <row r="140" spans="7:18" s="96" customFormat="1" x14ac:dyDescent="0.3">
      <c r="G140" s="79">
        <v>3254</v>
      </c>
      <c r="H140" s="78">
        <v>42274</v>
      </c>
      <c r="I140" s="79" t="s">
        <v>94</v>
      </c>
      <c r="J140" s="79" t="s">
        <v>67</v>
      </c>
      <c r="K140" s="98">
        <v>3056.13</v>
      </c>
      <c r="L140" s="98"/>
      <c r="M140" s="169">
        <f>IF(ISBLANK(Ckreg14_15[[#This Row],[Withdrawal]]),M139+Ckreg14_15[[#This Row],[Deposit]],M139-Ckreg14_15[[#This Row],[Withdrawal]])</f>
        <v>10998.219999999979</v>
      </c>
      <c r="N140" s="73">
        <v>42276</v>
      </c>
      <c r="O140" s="83"/>
      <c r="Q140" s="85"/>
      <c r="R140" s="85"/>
    </row>
    <row r="141" spans="7:18" s="96" customFormat="1" x14ac:dyDescent="0.3">
      <c r="G141" s="79">
        <v>3253</v>
      </c>
      <c r="H141" s="78">
        <v>42274</v>
      </c>
      <c r="I141" s="79" t="s">
        <v>136</v>
      </c>
      <c r="J141" s="79" t="s">
        <v>68</v>
      </c>
      <c r="K141" s="98">
        <v>30.59</v>
      </c>
      <c r="L141" s="98"/>
      <c r="M141" s="169">
        <f>IF(ISBLANK(Ckreg14_15[[#This Row],[Withdrawal]]),M140+Ckreg14_15[[#This Row],[Deposit]],M140-Ckreg14_15[[#This Row],[Withdrawal]])</f>
        <v>10967.629999999979</v>
      </c>
      <c r="N141" s="73">
        <v>42275</v>
      </c>
      <c r="O141" s="83"/>
      <c r="Q141" s="85"/>
      <c r="R141" s="85"/>
    </row>
    <row r="142" spans="7:18" s="96" customFormat="1" x14ac:dyDescent="0.3">
      <c r="G142" s="79"/>
      <c r="H142" s="78">
        <v>42277</v>
      </c>
      <c r="I142" s="79" t="s">
        <v>358</v>
      </c>
      <c r="J142" s="79" t="s">
        <v>74</v>
      </c>
      <c r="K142" s="98"/>
      <c r="L142" s="98">
        <v>-107.83</v>
      </c>
      <c r="M142" s="169">
        <f>IF(ISBLANK(Ckreg14_15[[#This Row],[Withdrawal]]),M141+Ckreg14_15[[#This Row],[Deposit]],M141-Ckreg14_15[[#This Row],[Withdrawal]])</f>
        <v>10859.799999999979</v>
      </c>
      <c r="N142" s="73">
        <v>42277</v>
      </c>
      <c r="O142" s="83" t="s">
        <v>343</v>
      </c>
      <c r="Q142" s="85"/>
      <c r="R142" s="85"/>
    </row>
    <row r="143" spans="7:18" s="96" customFormat="1" x14ac:dyDescent="0.3">
      <c r="G143" s="79"/>
      <c r="H143" s="78">
        <v>42277</v>
      </c>
      <c r="I143" s="79" t="s">
        <v>384</v>
      </c>
      <c r="J143" s="79" t="s">
        <v>74</v>
      </c>
      <c r="K143" s="98"/>
      <c r="L143" s="98">
        <f>-1361.25+292</f>
        <v>-1069.25</v>
      </c>
      <c r="M143" s="169">
        <f>IF(ISBLANK(Ckreg14_15[[#This Row],[Withdrawal]]),M142+Ckreg14_15[[#This Row],[Deposit]],M142-Ckreg14_15[[#This Row],[Withdrawal]])</f>
        <v>9790.5499999999793</v>
      </c>
      <c r="N143" s="73">
        <v>42277</v>
      </c>
      <c r="O143" s="83" t="s">
        <v>343</v>
      </c>
      <c r="Q143" s="85"/>
      <c r="R143" s="85"/>
    </row>
    <row r="144" spans="7:18" s="96" customFormat="1" x14ac:dyDescent="0.3">
      <c r="G144" s="79"/>
      <c r="H144" s="78">
        <v>42277</v>
      </c>
      <c r="I144" s="79" t="s">
        <v>261</v>
      </c>
      <c r="J144" s="79" t="s">
        <v>91</v>
      </c>
      <c r="K144" s="98"/>
      <c r="L144" s="98">
        <v>0.42</v>
      </c>
      <c r="M144" s="169">
        <f>IF(ISBLANK(Ckreg14_15[[#This Row],[Withdrawal]]),M143+Ckreg14_15[[#This Row],[Deposit]],M143-Ckreg14_15[[#This Row],[Withdrawal]])</f>
        <v>9790.9699999999793</v>
      </c>
      <c r="N144" s="73">
        <v>42277</v>
      </c>
      <c r="O144" s="83" t="s">
        <v>343</v>
      </c>
      <c r="Q144" s="85"/>
      <c r="R144" s="85"/>
    </row>
    <row r="145" spans="7:18" s="96" customFormat="1" x14ac:dyDescent="0.3">
      <c r="G145" s="79"/>
      <c r="H145" s="78">
        <v>42280</v>
      </c>
      <c r="I145" s="79" t="s">
        <v>242</v>
      </c>
      <c r="J145" s="79" t="s">
        <v>32</v>
      </c>
      <c r="K145" s="98"/>
      <c r="L145" s="98">
        <v>127.2</v>
      </c>
      <c r="M145" s="169">
        <f>IF(ISBLANK(Ckreg14_15[[#This Row],[Withdrawal]]),M144+Ckreg14_15[[#This Row],[Deposit]],M144-Ckreg14_15[[#This Row],[Withdrawal]])</f>
        <v>9918.1699999999801</v>
      </c>
      <c r="N145" s="73">
        <v>42307</v>
      </c>
      <c r="O145" s="83"/>
      <c r="Q145" s="85"/>
      <c r="R145" s="85"/>
    </row>
    <row r="146" spans="7:18" s="96" customFormat="1" x14ac:dyDescent="0.3">
      <c r="G146" s="79"/>
      <c r="H146" s="78">
        <v>42280</v>
      </c>
      <c r="I146" s="79" t="s">
        <v>307</v>
      </c>
      <c r="J146" s="79" t="s">
        <v>44</v>
      </c>
      <c r="K146" s="98"/>
      <c r="L146" s="98">
        <v>37</v>
      </c>
      <c r="M146" s="169">
        <f>IF(ISBLANK(Ckreg14_15[[#This Row],[Withdrawal]]),M145+Ckreg14_15[[#This Row],[Deposit]],M145-Ckreg14_15[[#This Row],[Withdrawal]])</f>
        <v>9955.1699999999801</v>
      </c>
      <c r="N146" s="73">
        <v>42307</v>
      </c>
      <c r="O146" s="83"/>
      <c r="Q146" s="85"/>
      <c r="R146" s="85"/>
    </row>
    <row r="147" spans="7:18" s="96" customFormat="1" x14ac:dyDescent="0.3">
      <c r="G147" s="79">
        <v>3255</v>
      </c>
      <c r="H147" s="78">
        <v>42280</v>
      </c>
      <c r="I147" s="79" t="s">
        <v>308</v>
      </c>
      <c r="J147" s="79" t="s">
        <v>38</v>
      </c>
      <c r="K147" s="98">
        <v>90.91</v>
      </c>
      <c r="L147" s="98"/>
      <c r="M147" s="169">
        <f>IF(ISBLANK(Ckreg14_15[[#This Row],[Withdrawal]]),M146+Ckreg14_15[[#This Row],[Deposit]],M146-Ckreg14_15[[#This Row],[Withdrawal]])</f>
        <v>9864.2599999999802</v>
      </c>
      <c r="N147" s="73">
        <v>42284</v>
      </c>
      <c r="O147" s="83"/>
      <c r="Q147" s="85"/>
      <c r="R147" s="85"/>
    </row>
    <row r="148" spans="7:18" s="96" customFormat="1" x14ac:dyDescent="0.3">
      <c r="G148" s="79">
        <v>3256</v>
      </c>
      <c r="H148" s="78">
        <v>42280</v>
      </c>
      <c r="I148" s="79" t="s">
        <v>269</v>
      </c>
      <c r="J148" s="79" t="s">
        <v>51</v>
      </c>
      <c r="K148" s="98">
        <v>80</v>
      </c>
      <c r="L148" s="98"/>
      <c r="M148" s="169">
        <f>IF(ISBLANK(Ckreg14_15[[#This Row],[Withdrawal]]),M147+Ckreg14_15[[#This Row],[Deposit]],M147-Ckreg14_15[[#This Row],[Withdrawal]])</f>
        <v>9784.2599999999802</v>
      </c>
      <c r="N148" s="73">
        <v>42286</v>
      </c>
      <c r="O148" s="83"/>
      <c r="Q148" s="85"/>
      <c r="R148" s="85"/>
    </row>
    <row r="149" spans="7:18" s="96" customFormat="1" x14ac:dyDescent="0.3">
      <c r="G149" s="79">
        <v>3257</v>
      </c>
      <c r="H149" s="78">
        <v>42280</v>
      </c>
      <c r="I149" s="79" t="s">
        <v>309</v>
      </c>
      <c r="J149" s="79" t="s">
        <v>46</v>
      </c>
      <c r="K149" s="98">
        <v>869</v>
      </c>
      <c r="L149" s="98"/>
      <c r="M149" s="169">
        <f>IF(ISBLANK(Ckreg14_15[[#This Row],[Withdrawal]]),M148+Ckreg14_15[[#This Row],[Deposit]],M148-Ckreg14_15[[#This Row],[Withdrawal]])</f>
        <v>8915.2599999999802</v>
      </c>
      <c r="N149" s="73">
        <v>42286</v>
      </c>
      <c r="O149" s="83"/>
      <c r="Q149" s="85"/>
      <c r="R149" s="85"/>
    </row>
    <row r="150" spans="7:18" s="96" customFormat="1" x14ac:dyDescent="0.3">
      <c r="G150" s="79">
        <v>3258</v>
      </c>
      <c r="H150" s="78">
        <v>42280</v>
      </c>
      <c r="I150" s="79" t="s">
        <v>310</v>
      </c>
      <c r="J150" s="79" t="s">
        <v>264</v>
      </c>
      <c r="K150" s="98">
        <v>31</v>
      </c>
      <c r="L150" s="98"/>
      <c r="M150" s="169">
        <f>IF(ISBLANK(Ckreg14_15[[#This Row],[Withdrawal]]),M149+Ckreg14_15[[#This Row],[Deposit]],M149-Ckreg14_15[[#This Row],[Withdrawal]])</f>
        <v>8884.2599999999802</v>
      </c>
      <c r="N150" s="73">
        <v>42290</v>
      </c>
      <c r="O150" s="83"/>
      <c r="Q150" s="85"/>
      <c r="R150" s="85"/>
    </row>
    <row r="151" spans="7:18" s="96" customFormat="1" x14ac:dyDescent="0.3">
      <c r="G151" s="79">
        <v>3259</v>
      </c>
      <c r="H151" s="78">
        <v>42283</v>
      </c>
      <c r="I151" s="79" t="s">
        <v>93</v>
      </c>
      <c r="J151" s="79" t="s">
        <v>36</v>
      </c>
      <c r="K151" s="98">
        <v>50.72</v>
      </c>
      <c r="L151" s="98"/>
      <c r="M151" s="169">
        <f>IF(ISBLANK(Ckreg14_15[[#This Row],[Withdrawal]]),M150+Ckreg14_15[[#This Row],[Deposit]],M150-Ckreg14_15[[#This Row],[Withdrawal]])</f>
        <v>8833.5399999999809</v>
      </c>
      <c r="N151" s="73">
        <v>42286</v>
      </c>
      <c r="O151" s="83"/>
      <c r="Q151" s="85"/>
      <c r="R151" s="85"/>
    </row>
    <row r="152" spans="7:18" s="96" customFormat="1" x14ac:dyDescent="0.3">
      <c r="G152" s="79">
        <v>3259</v>
      </c>
      <c r="H152" s="78">
        <v>42283</v>
      </c>
      <c r="I152" s="79" t="s">
        <v>93</v>
      </c>
      <c r="J152" s="79" t="s">
        <v>39</v>
      </c>
      <c r="K152" s="98">
        <v>50.71</v>
      </c>
      <c r="L152" s="98"/>
      <c r="M152" s="169">
        <f>IF(ISBLANK(Ckreg14_15[[#This Row],[Withdrawal]]),M151+Ckreg14_15[[#This Row],[Deposit]],M151-Ckreg14_15[[#This Row],[Withdrawal]])</f>
        <v>8782.8299999999817</v>
      </c>
      <c r="N152" s="73">
        <v>42286</v>
      </c>
      <c r="O152" s="83"/>
      <c r="Q152" s="85"/>
      <c r="R152" s="85"/>
    </row>
    <row r="153" spans="7:18" s="96" customFormat="1" x14ac:dyDescent="0.3">
      <c r="G153" s="79">
        <v>3260</v>
      </c>
      <c r="H153" s="78">
        <v>42292</v>
      </c>
      <c r="I153" s="79" t="s">
        <v>311</v>
      </c>
      <c r="J153" s="79" t="s">
        <v>264</v>
      </c>
      <c r="K153" s="98">
        <v>47.4</v>
      </c>
      <c r="L153" s="98"/>
      <c r="M153" s="169">
        <f>IF(ISBLANK(Ckreg14_15[[#This Row],[Withdrawal]]),M152+Ckreg14_15[[#This Row],[Deposit]],M152-Ckreg14_15[[#This Row],[Withdrawal]])</f>
        <v>8735.4299999999821</v>
      </c>
      <c r="N153" s="73">
        <v>42298</v>
      </c>
      <c r="O153" s="83"/>
      <c r="Q153" s="85"/>
      <c r="R153" s="85"/>
    </row>
    <row r="154" spans="7:18" s="96" customFormat="1" x14ac:dyDescent="0.3">
      <c r="G154" s="79">
        <v>3261</v>
      </c>
      <c r="H154" s="78">
        <v>42297</v>
      </c>
      <c r="I154" s="79" t="s">
        <v>312</v>
      </c>
      <c r="J154" s="79" t="s">
        <v>263</v>
      </c>
      <c r="K154" s="98">
        <v>64.47</v>
      </c>
      <c r="L154" s="98"/>
      <c r="M154" s="169">
        <f>IF(ISBLANK(Ckreg14_15[[#This Row],[Withdrawal]]),M153+Ckreg14_15[[#This Row],[Deposit]],M153-Ckreg14_15[[#This Row],[Withdrawal]])</f>
        <v>8670.9599999999828</v>
      </c>
      <c r="N154" s="73">
        <v>42304</v>
      </c>
      <c r="O154" s="83"/>
      <c r="Q154" s="85"/>
      <c r="R154" s="85"/>
    </row>
    <row r="155" spans="7:18" s="96" customFormat="1" x14ac:dyDescent="0.3">
      <c r="G155" s="54">
        <v>3261</v>
      </c>
      <c r="H155" s="55">
        <v>42297</v>
      </c>
      <c r="I155" s="54" t="s">
        <v>320</v>
      </c>
      <c r="J155" s="54" t="s">
        <v>44</v>
      </c>
      <c r="K155" s="56">
        <v>37</v>
      </c>
      <c r="L155" s="56"/>
      <c r="M155" s="169">
        <f>IF(ISBLANK(Ckreg14_15[[#This Row],[Withdrawal]]),M154+Ckreg14_15[[#This Row],[Deposit]],M154-Ckreg14_15[[#This Row],[Withdrawal]])</f>
        <v>8633.9599999999828</v>
      </c>
      <c r="N155" s="73">
        <v>42304</v>
      </c>
      <c r="O155" s="83"/>
      <c r="Q155" s="85"/>
      <c r="R155" s="85"/>
    </row>
    <row r="156" spans="7:18" s="96" customFormat="1" x14ac:dyDescent="0.3">
      <c r="G156" s="54">
        <v>3262</v>
      </c>
      <c r="H156" s="55">
        <v>42307</v>
      </c>
      <c r="I156" s="54" t="s">
        <v>313</v>
      </c>
      <c r="J156" s="54" t="s">
        <v>34</v>
      </c>
      <c r="K156" s="56">
        <v>100</v>
      </c>
      <c r="L156" s="56"/>
      <c r="M156" s="169">
        <f>IF(ISBLANK(Ckreg14_15[[#This Row],[Withdrawal]]),M155+Ckreg14_15[[#This Row],[Deposit]],M155-Ckreg14_15[[#This Row],[Withdrawal]])</f>
        <v>8533.9599999999828</v>
      </c>
      <c r="N156" s="73">
        <v>42310</v>
      </c>
      <c r="O156" s="83"/>
      <c r="Q156" s="85"/>
      <c r="R156" s="85"/>
    </row>
    <row r="157" spans="7:18" s="96" customFormat="1" x14ac:dyDescent="0.3">
      <c r="G157" s="74">
        <v>3263</v>
      </c>
      <c r="H157" s="75">
        <v>42307</v>
      </c>
      <c r="I157" s="74" t="s">
        <v>314</v>
      </c>
      <c r="J157" s="74" t="s">
        <v>34</v>
      </c>
      <c r="K157" s="76">
        <v>155.22</v>
      </c>
      <c r="L157" s="76"/>
      <c r="M157" s="169">
        <f>IF(ISBLANK(Ckreg14_15[[#This Row],[Withdrawal]]),M156+Ckreg14_15[[#This Row],[Deposit]],M156-Ckreg14_15[[#This Row],[Withdrawal]])</f>
        <v>8378.7399999999834</v>
      </c>
      <c r="N157" s="73">
        <v>42310</v>
      </c>
      <c r="O157" s="83"/>
      <c r="Q157" s="85"/>
      <c r="R157" s="85"/>
    </row>
    <row r="158" spans="7:18" s="96" customFormat="1" x14ac:dyDescent="0.3">
      <c r="G158" s="74">
        <v>3264</v>
      </c>
      <c r="H158" s="75">
        <v>42307</v>
      </c>
      <c r="I158" s="74" t="s">
        <v>315</v>
      </c>
      <c r="J158" s="74" t="s">
        <v>34</v>
      </c>
      <c r="K158" s="76">
        <v>52.85</v>
      </c>
      <c r="L158" s="76"/>
      <c r="M158" s="169">
        <f>IF(ISBLANK(Ckreg14_15[[#This Row],[Withdrawal]]),M157+Ckreg14_15[[#This Row],[Deposit]],M157-Ckreg14_15[[#This Row],[Withdrawal]])</f>
        <v>8325.889999999983</v>
      </c>
      <c r="N158" s="73">
        <v>42311</v>
      </c>
      <c r="O158" s="83"/>
      <c r="Q158" s="85"/>
      <c r="R158" s="85"/>
    </row>
    <row r="159" spans="7:18" s="96" customFormat="1" x14ac:dyDescent="0.3">
      <c r="G159" s="74">
        <v>3265</v>
      </c>
      <c r="H159" s="75">
        <v>42307</v>
      </c>
      <c r="I159" s="74" t="s">
        <v>316</v>
      </c>
      <c r="J159" s="74" t="s">
        <v>34</v>
      </c>
      <c r="K159" s="76">
        <v>39.25</v>
      </c>
      <c r="L159" s="76"/>
      <c r="M159" s="169">
        <f>IF(ISBLANK(Ckreg14_15[[#This Row],[Withdrawal]]),M158+Ckreg14_15[[#This Row],[Deposit]],M158-Ckreg14_15[[#This Row],[Withdrawal]])</f>
        <v>8286.639999999983</v>
      </c>
      <c r="N159" s="73">
        <v>42310</v>
      </c>
      <c r="O159" s="83"/>
      <c r="Q159" s="85"/>
      <c r="R159" s="85"/>
    </row>
    <row r="160" spans="7:18" s="96" customFormat="1" x14ac:dyDescent="0.3">
      <c r="G160" s="74"/>
      <c r="H160" s="75">
        <v>42307</v>
      </c>
      <c r="I160" s="74" t="s">
        <v>385</v>
      </c>
      <c r="J160" s="79" t="s">
        <v>74</v>
      </c>
      <c r="K160" s="76"/>
      <c r="L160" s="76">
        <v>-80</v>
      </c>
      <c r="M160" s="169">
        <f>IF(ISBLANK(Ckreg14_15[[#This Row],[Withdrawal]]),M159+Ckreg14_15[[#This Row],[Deposit]],M159-Ckreg14_15[[#This Row],[Withdrawal]])</f>
        <v>8206.639999999983</v>
      </c>
      <c r="N160" s="73">
        <v>42307</v>
      </c>
      <c r="O160" s="83" t="s">
        <v>343</v>
      </c>
      <c r="Q160" s="85"/>
      <c r="R160" s="85"/>
    </row>
    <row r="161" spans="4:18" s="96" customFormat="1" x14ac:dyDescent="0.3">
      <c r="G161" s="74"/>
      <c r="H161" s="75">
        <v>42307</v>
      </c>
      <c r="I161" s="74" t="s">
        <v>386</v>
      </c>
      <c r="J161" s="79" t="s">
        <v>44</v>
      </c>
      <c r="K161" s="76"/>
      <c r="L161" s="76">
        <v>85.55</v>
      </c>
      <c r="M161" s="169">
        <f>IF(ISBLANK(Ckreg14_15[[#This Row],[Withdrawal]]),M160+Ckreg14_15[[#This Row],[Deposit]],M160-Ckreg14_15[[#This Row],[Withdrawal]])</f>
        <v>8292.1899999999823</v>
      </c>
      <c r="N161" s="73">
        <v>42307</v>
      </c>
      <c r="O161" s="83" t="s">
        <v>343</v>
      </c>
      <c r="Q161" s="85"/>
      <c r="R161" s="85"/>
    </row>
    <row r="162" spans="4:18" s="96" customFormat="1" x14ac:dyDescent="0.3">
      <c r="G162" s="74"/>
      <c r="H162" s="75">
        <v>42307</v>
      </c>
      <c r="I162" s="74" t="s">
        <v>360</v>
      </c>
      <c r="J162" s="79" t="s">
        <v>74</v>
      </c>
      <c r="K162" s="76"/>
      <c r="L162" s="76">
        <v>32.799999999999997</v>
      </c>
      <c r="M162" s="169">
        <f>IF(ISBLANK(Ckreg14_15[[#This Row],[Withdrawal]]),M161+Ckreg14_15[[#This Row],[Deposit]],M161-Ckreg14_15[[#This Row],[Withdrawal]])</f>
        <v>8324.9899999999816</v>
      </c>
      <c r="N162" s="73">
        <v>42307</v>
      </c>
      <c r="O162" s="83" t="s">
        <v>343</v>
      </c>
      <c r="Q162" s="85"/>
      <c r="R162" s="85"/>
    </row>
    <row r="163" spans="4:18" s="96" customFormat="1" x14ac:dyDescent="0.3">
      <c r="G163" s="74"/>
      <c r="H163" s="75">
        <v>42307</v>
      </c>
      <c r="I163" s="74" t="s">
        <v>359</v>
      </c>
      <c r="J163" s="79" t="s">
        <v>74</v>
      </c>
      <c r="K163" s="76"/>
      <c r="L163" s="76">
        <v>3700.41</v>
      </c>
      <c r="M163" s="169">
        <f>IF(ISBLANK(Ckreg14_15[[#This Row],[Withdrawal]]),M162+Ckreg14_15[[#This Row],[Deposit]],M162-Ckreg14_15[[#This Row],[Withdrawal]])</f>
        <v>12025.399999999981</v>
      </c>
      <c r="N163" s="73">
        <v>42307</v>
      </c>
      <c r="O163" s="83" t="s">
        <v>343</v>
      </c>
      <c r="Q163" s="85"/>
      <c r="R163" s="85"/>
    </row>
    <row r="164" spans="4:18" s="96" customFormat="1" x14ac:dyDescent="0.3">
      <c r="G164" s="74"/>
      <c r="H164" s="75">
        <v>42308</v>
      </c>
      <c r="I164" s="74" t="s">
        <v>261</v>
      </c>
      <c r="J164" s="74" t="s">
        <v>91</v>
      </c>
      <c r="K164" s="76"/>
      <c r="L164" s="76">
        <v>0.51</v>
      </c>
      <c r="M164" s="169">
        <f>IF(ISBLANK(Ckreg14_15[[#This Row],[Withdrawal]]),M163+Ckreg14_15[[#This Row],[Deposit]],M163-Ckreg14_15[[#This Row],[Withdrawal]])</f>
        <v>12025.909999999982</v>
      </c>
      <c r="N164" s="73">
        <v>42307</v>
      </c>
      <c r="O164" s="83" t="s">
        <v>343</v>
      </c>
      <c r="Q164" s="85"/>
      <c r="R164" s="85"/>
    </row>
    <row r="165" spans="4:18" s="96" customFormat="1" x14ac:dyDescent="0.3">
      <c r="G165" s="74">
        <v>3266</v>
      </c>
      <c r="H165" s="75">
        <v>42314</v>
      </c>
      <c r="I165" s="74" t="s">
        <v>317</v>
      </c>
      <c r="J165" s="74" t="s">
        <v>34</v>
      </c>
      <c r="K165" s="76">
        <v>22.42</v>
      </c>
      <c r="L165" s="76"/>
      <c r="M165" s="169">
        <f>IF(ISBLANK(Ckreg14_15[[#This Row],[Withdrawal]]),M164+Ckreg14_15[[#This Row],[Deposit]],M164-Ckreg14_15[[#This Row],[Withdrawal]])</f>
        <v>12003.489999999982</v>
      </c>
      <c r="N165" s="73">
        <v>42314</v>
      </c>
      <c r="O165" s="83">
        <v>11989.59</v>
      </c>
      <c r="Q165" s="85"/>
      <c r="R165" s="85"/>
    </row>
    <row r="166" spans="4:18" s="96" customFormat="1" x14ac:dyDescent="0.3">
      <c r="G166" s="74"/>
      <c r="H166" s="75">
        <v>42317</v>
      </c>
      <c r="I166" s="74" t="s">
        <v>318</v>
      </c>
      <c r="J166" s="74" t="s">
        <v>33</v>
      </c>
      <c r="K166" s="76"/>
      <c r="L166" s="76">
        <v>104</v>
      </c>
      <c r="M166" s="169">
        <f>IF(ISBLANK(Ckreg14_15[[#This Row],[Withdrawal]]),M165+Ckreg14_15[[#This Row],[Deposit]],M165-Ckreg14_15[[#This Row],[Withdrawal]])</f>
        <v>12107.489999999982</v>
      </c>
      <c r="N166" s="73">
        <v>42318</v>
      </c>
      <c r="O166" s="83">
        <v>0</v>
      </c>
      <c r="Q166" s="85"/>
      <c r="R166" s="85"/>
    </row>
    <row r="167" spans="4:18" s="96" customFormat="1" x14ac:dyDescent="0.3">
      <c r="G167" s="74">
        <v>3267</v>
      </c>
      <c r="H167" s="75">
        <v>42317</v>
      </c>
      <c r="I167" s="74" t="s">
        <v>319</v>
      </c>
      <c r="J167" s="74" t="s">
        <v>34</v>
      </c>
      <c r="K167" s="76">
        <v>100</v>
      </c>
      <c r="L167" s="76"/>
      <c r="M167" s="169">
        <f>IF(ISBLANK(Ckreg14_15[[#This Row],[Withdrawal]]),M166+Ckreg14_15[[#This Row],[Deposit]],M166-Ckreg14_15[[#This Row],[Withdrawal]])</f>
        <v>12007.489999999982</v>
      </c>
      <c r="N167" s="73">
        <v>42346</v>
      </c>
      <c r="O167" s="83">
        <v>11989.59</v>
      </c>
      <c r="Q167" s="85"/>
      <c r="R167" s="85"/>
    </row>
    <row r="168" spans="4:18" s="96" customFormat="1" x14ac:dyDescent="0.3">
      <c r="G168" s="74">
        <v>3268</v>
      </c>
      <c r="H168" s="75">
        <v>42317</v>
      </c>
      <c r="I168" s="74" t="s">
        <v>321</v>
      </c>
      <c r="J168" s="74" t="s">
        <v>264</v>
      </c>
      <c r="K168" s="76">
        <v>117</v>
      </c>
      <c r="L168" s="76"/>
      <c r="M168" s="169">
        <f>IF(ISBLANK(Ckreg14_15[[#This Row],[Withdrawal]]),M167+Ckreg14_15[[#This Row],[Deposit]],M167-Ckreg14_15[[#This Row],[Withdrawal]])</f>
        <v>11890.489999999982</v>
      </c>
      <c r="N168" s="73">
        <v>42324</v>
      </c>
      <c r="O168" s="83">
        <v>-119.12</v>
      </c>
      <c r="Q168" s="85"/>
      <c r="R168" s="85"/>
    </row>
    <row r="169" spans="4:18" s="96" customFormat="1" x14ac:dyDescent="0.3">
      <c r="G169" s="74">
        <v>3268</v>
      </c>
      <c r="H169" s="75">
        <v>42317</v>
      </c>
      <c r="I169" s="74" t="s">
        <v>322</v>
      </c>
      <c r="J169" s="74" t="s">
        <v>44</v>
      </c>
      <c r="K169" s="76">
        <v>74.010000000000005</v>
      </c>
      <c r="L169" s="76"/>
      <c r="M169" s="169">
        <f>IF(ISBLANK(Ckreg14_15[[#This Row],[Withdrawal]]),M168+Ckreg14_15[[#This Row],[Deposit]],M168-Ckreg14_15[[#This Row],[Withdrawal]])</f>
        <v>11816.479999999981</v>
      </c>
      <c r="N169" s="73">
        <v>42324</v>
      </c>
      <c r="O169" s="83">
        <v>11870.47</v>
      </c>
      <c r="Q169" s="85"/>
      <c r="R169" s="85"/>
    </row>
    <row r="170" spans="4:18" s="96" customFormat="1" x14ac:dyDescent="0.3">
      <c r="G170" s="74">
        <v>3268</v>
      </c>
      <c r="H170" s="75">
        <v>42317</v>
      </c>
      <c r="I170" s="74" t="s">
        <v>323</v>
      </c>
      <c r="J170" s="74" t="s">
        <v>44</v>
      </c>
      <c r="K170" s="76">
        <v>16.5</v>
      </c>
      <c r="L170" s="76"/>
      <c r="M170" s="169">
        <f>IF(ISBLANK(Ckreg14_15[[#This Row],[Withdrawal]]),M169+Ckreg14_15[[#This Row],[Deposit]],M169-Ckreg14_15[[#This Row],[Withdrawal]])</f>
        <v>11799.979999999981</v>
      </c>
      <c r="N170" s="73">
        <v>42324</v>
      </c>
      <c r="O170" s="83"/>
      <c r="Q170" s="85"/>
      <c r="R170" s="85"/>
    </row>
    <row r="171" spans="4:18" s="96" customFormat="1" x14ac:dyDescent="0.3">
      <c r="G171" s="74"/>
      <c r="H171" s="75">
        <v>42338</v>
      </c>
      <c r="I171" s="74" t="s">
        <v>261</v>
      </c>
      <c r="J171" s="74" t="s">
        <v>91</v>
      </c>
      <c r="K171" s="76"/>
      <c r="L171" s="76">
        <v>0.49</v>
      </c>
      <c r="M171" s="169">
        <f>IF(ISBLANK(Ckreg14_15[[#This Row],[Withdrawal]]),M170+Ckreg14_15[[#This Row],[Deposit]],M170-Ckreg14_15[[#This Row],[Withdrawal]])</f>
        <v>11800.469999999981</v>
      </c>
      <c r="N171" s="73">
        <v>42338</v>
      </c>
      <c r="O171" s="83" t="s">
        <v>343</v>
      </c>
      <c r="Q171" s="85"/>
      <c r="R171" s="85"/>
    </row>
    <row r="172" spans="4:18" s="96" customFormat="1" x14ac:dyDescent="0.3">
      <c r="G172" s="74"/>
      <c r="H172" s="75">
        <v>42338</v>
      </c>
      <c r="I172" s="74" t="s">
        <v>357</v>
      </c>
      <c r="J172" s="74" t="s">
        <v>44</v>
      </c>
      <c r="K172" s="76"/>
      <c r="L172" s="76">
        <v>70</v>
      </c>
      <c r="M172" s="169">
        <f>IF(ISBLANK(Ckreg14_15[[#This Row],[Withdrawal]]),M171+Ckreg14_15[[#This Row],[Deposit]],M171-Ckreg14_15[[#This Row],[Withdrawal]])</f>
        <v>11870.469999999981</v>
      </c>
      <c r="N172" s="73">
        <v>42310</v>
      </c>
      <c r="O172" s="83" t="s">
        <v>343</v>
      </c>
      <c r="Q172" s="85"/>
      <c r="R172" s="85"/>
    </row>
    <row r="173" spans="4:18" s="96" customFormat="1" x14ac:dyDescent="0.3">
      <c r="G173" s="74"/>
      <c r="H173" s="75"/>
      <c r="I173" s="74"/>
      <c r="J173" s="74"/>
      <c r="K173" s="76"/>
      <c r="L173" s="76"/>
      <c r="M173" s="169">
        <f>IF(ISBLANK(Ckreg14_15[[#This Row],[Withdrawal]]),M172+Ckreg14_15[[#This Row],[Deposit]],M172-Ckreg14_15[[#This Row],[Withdrawal]])</f>
        <v>11870.469999999981</v>
      </c>
      <c r="N173" s="173"/>
      <c r="O173" s="84"/>
      <c r="Q173" s="85"/>
      <c r="R173" s="85"/>
    </row>
    <row r="174" spans="4:18" s="96" customFormat="1" x14ac:dyDescent="0.3">
      <c r="D174" s="96" t="s">
        <v>372</v>
      </c>
      <c r="G174" s="74"/>
      <c r="H174" s="75"/>
      <c r="I174" s="74"/>
      <c r="J174" s="74"/>
      <c r="K174" s="76"/>
      <c r="L174" s="76"/>
      <c r="M174" s="169">
        <f>IF(ISBLANK(Ckreg14_15[[#This Row],[Withdrawal]]),M173+Ckreg14_15[[#This Row],[Deposit]],M173-Ckreg14_15[[#This Row],[Withdrawal]])</f>
        <v>11870.469999999981</v>
      </c>
      <c r="N174" s="173"/>
      <c r="O174" s="84"/>
      <c r="Q174" s="85"/>
      <c r="R174" s="85"/>
    </row>
    <row r="175" spans="4:18" s="96" customFormat="1" x14ac:dyDescent="0.3">
      <c r="D175" s="96" t="s">
        <v>373</v>
      </c>
      <c r="G175" s="293"/>
      <c r="H175" s="293"/>
      <c r="I175" s="293"/>
      <c r="J175" s="293"/>
      <c r="K175" s="294">
        <f>SUBTOTAL(109,Ckreg14_15[Withdrawal])</f>
        <v>32353.680000000008</v>
      </c>
      <c r="L175" s="295">
        <f>SUBTOTAL(109,Ckreg14_15[Deposit])</f>
        <v>44224.14999999998</v>
      </c>
      <c r="M175" s="294">
        <f>+Ckreg14_15[[#Totals],[Deposit]]-Ckreg14_15[[#Totals],[Withdrawal]]</f>
        <v>11870.469999999972</v>
      </c>
      <c r="N175" s="296"/>
      <c r="O175" s="296"/>
      <c r="Q175" s="85"/>
      <c r="R175" s="85"/>
    </row>
    <row r="176" spans="4:18" s="96" customFormat="1" x14ac:dyDescent="0.3">
      <c r="G176" s="87"/>
      <c r="H176" s="87"/>
      <c r="I176" s="87"/>
      <c r="J176" s="87"/>
      <c r="K176" s="100">
        <f>SUM(Ckreg14_15[Withdrawal])</f>
        <v>32353.680000000008</v>
      </c>
      <c r="L176" s="100">
        <f>SUM(Ckreg14_15[Deposit])</f>
        <v>44224.14999999998</v>
      </c>
      <c r="M176" s="99">
        <f>+M173-Ckreg14_15[[#Totals],[Balance]]</f>
        <v>0</v>
      </c>
      <c r="N176" s="87"/>
      <c r="O176" s="87"/>
      <c r="Q176" s="85"/>
      <c r="R176" s="85"/>
    </row>
    <row r="177" spans="7:18" s="96" customFormat="1" x14ac:dyDescent="0.3">
      <c r="G177" s="87"/>
      <c r="H177" s="87"/>
      <c r="I177" s="87"/>
      <c r="J177" s="87"/>
      <c r="K177" s="87"/>
      <c r="L177" s="99"/>
      <c r="M177" s="87"/>
      <c r="N177" s="87"/>
      <c r="O177" s="87"/>
      <c r="Q177" s="85"/>
      <c r="R177" s="85"/>
    </row>
    <row r="178" spans="7:18" s="96" customFormat="1" x14ac:dyDescent="0.3">
      <c r="G178" s="87"/>
      <c r="H178" s="87"/>
      <c r="I178" s="87"/>
      <c r="J178" s="87"/>
      <c r="K178" s="100"/>
      <c r="L178" s="87"/>
      <c r="M178" s="87"/>
      <c r="N178" s="87"/>
      <c r="O178" s="87"/>
      <c r="R178" s="85"/>
    </row>
    <row r="179" spans="7:18" s="96" customFormat="1" x14ac:dyDescent="0.3">
      <c r="G179" s="87"/>
      <c r="H179" s="87"/>
      <c r="I179" s="87"/>
      <c r="J179" s="87"/>
      <c r="K179" s="87"/>
      <c r="L179" s="87"/>
      <c r="M179" s="87"/>
      <c r="N179" s="87"/>
      <c r="O179" s="87"/>
      <c r="R179" s="85"/>
    </row>
    <row r="180" spans="7:18" s="96" customFormat="1" x14ac:dyDescent="0.3">
      <c r="G180" s="87"/>
      <c r="H180" s="87"/>
      <c r="I180" s="87"/>
      <c r="J180" s="87"/>
      <c r="K180" s="87"/>
      <c r="L180" s="87"/>
      <c r="M180" s="87"/>
      <c r="N180" s="87"/>
      <c r="O180" s="87"/>
      <c r="R180" s="85"/>
    </row>
    <row r="181" spans="7:18" s="96" customFormat="1" ht="13.8" x14ac:dyDescent="0.3">
      <c r="G181" s="87"/>
      <c r="H181" s="87"/>
      <c r="I181" s="87"/>
      <c r="J181" s="87"/>
      <c r="K181" s="87"/>
      <c r="L181" s="87"/>
      <c r="M181" s="87"/>
      <c r="N181" s="87"/>
      <c r="O181" s="87"/>
    </row>
    <row r="182" spans="7:18" s="96" customFormat="1" ht="13.8" x14ac:dyDescent="0.3">
      <c r="G182" s="87"/>
      <c r="H182" s="87"/>
      <c r="I182" s="87"/>
      <c r="J182" s="87"/>
      <c r="K182" s="87"/>
      <c r="L182" s="87"/>
      <c r="M182" s="87"/>
      <c r="N182" s="87"/>
      <c r="O182" s="87"/>
    </row>
    <row r="183" spans="7:18" s="96" customFormat="1" ht="13.8" x14ac:dyDescent="0.3">
      <c r="G183" s="87"/>
      <c r="H183" s="87"/>
      <c r="I183" s="87"/>
      <c r="J183" s="87"/>
      <c r="K183" s="87"/>
      <c r="L183" s="87"/>
      <c r="M183" s="87"/>
      <c r="N183" s="87"/>
      <c r="O183" s="87"/>
    </row>
    <row r="184" spans="7:18" s="96" customFormat="1" ht="13.8" x14ac:dyDescent="0.3">
      <c r="G184" s="87"/>
      <c r="H184" s="87"/>
      <c r="I184" s="87"/>
      <c r="J184" s="87"/>
      <c r="K184" s="87"/>
      <c r="L184" s="87"/>
      <c r="M184" s="87"/>
      <c r="N184" s="87"/>
      <c r="O184" s="87"/>
    </row>
    <row r="185" spans="7:18" s="96" customFormat="1" ht="13.8" x14ac:dyDescent="0.3">
      <c r="G185" s="87"/>
      <c r="H185" s="87"/>
      <c r="I185" s="87"/>
      <c r="J185" s="87"/>
      <c r="K185" s="87"/>
      <c r="L185" s="87"/>
      <c r="M185" s="87"/>
      <c r="N185" s="87"/>
      <c r="O185" s="87"/>
    </row>
    <row r="186" spans="7:18" s="96" customFormat="1" ht="13.8" x14ac:dyDescent="0.3">
      <c r="G186" s="87"/>
      <c r="H186" s="87"/>
      <c r="I186" s="87"/>
      <c r="J186" s="87"/>
      <c r="K186" s="87"/>
      <c r="L186" s="87"/>
      <c r="M186" s="87"/>
      <c r="N186" s="87"/>
      <c r="O186" s="87"/>
    </row>
    <row r="187" spans="7:18" s="96" customFormat="1" ht="13.8" x14ac:dyDescent="0.3">
      <c r="G187" s="87"/>
      <c r="H187" s="87"/>
      <c r="I187" s="87"/>
      <c r="J187" s="87"/>
      <c r="K187" s="87"/>
      <c r="L187" s="87"/>
      <c r="M187" s="87"/>
      <c r="N187" s="87"/>
      <c r="O187" s="87"/>
    </row>
    <row r="188" spans="7:18" s="96" customFormat="1" ht="13.8" x14ac:dyDescent="0.3">
      <c r="G188" s="87"/>
      <c r="H188" s="87"/>
      <c r="I188" s="87"/>
      <c r="J188" s="87"/>
      <c r="K188" s="87"/>
      <c r="L188" s="87"/>
      <c r="M188" s="87"/>
      <c r="N188" s="87"/>
      <c r="O188" s="87"/>
    </row>
    <row r="189" spans="7:18" s="96" customFormat="1" ht="13.8" x14ac:dyDescent="0.3">
      <c r="G189" s="87"/>
      <c r="H189" s="87"/>
      <c r="I189" s="87"/>
      <c r="J189" s="87"/>
      <c r="K189" s="87"/>
      <c r="L189" s="87"/>
      <c r="M189" s="87"/>
      <c r="N189" s="87"/>
      <c r="O189" s="87"/>
    </row>
    <row r="190" spans="7:18" s="96" customFormat="1" ht="13.8" x14ac:dyDescent="0.3">
      <c r="G190" s="87"/>
      <c r="H190" s="87"/>
      <c r="I190" s="87"/>
      <c r="J190" s="87"/>
      <c r="K190" s="87"/>
      <c r="L190" s="87"/>
      <c r="M190" s="87"/>
      <c r="N190" s="87"/>
      <c r="O190" s="87"/>
    </row>
    <row r="191" spans="7:18" s="96" customFormat="1" ht="13.8" x14ac:dyDescent="0.3">
      <c r="G191" s="87"/>
      <c r="H191" s="87"/>
      <c r="I191" s="87"/>
      <c r="J191" s="87"/>
      <c r="K191" s="87"/>
      <c r="L191" s="87"/>
      <c r="M191" s="87"/>
      <c r="N191" s="87"/>
      <c r="O191" s="87"/>
    </row>
    <row r="192" spans="7:18" s="96" customFormat="1" ht="13.8" x14ac:dyDescent="0.3">
      <c r="G192" s="87"/>
      <c r="H192" s="87"/>
      <c r="I192" s="87"/>
      <c r="J192" s="87"/>
      <c r="K192" s="87"/>
      <c r="L192" s="87"/>
      <c r="M192" s="87"/>
      <c r="N192" s="87"/>
      <c r="O192" s="87"/>
    </row>
    <row r="193" spans="7:15" s="96" customFormat="1" ht="13.8" x14ac:dyDescent="0.3">
      <c r="G193" s="87"/>
      <c r="H193" s="87"/>
      <c r="I193" s="87"/>
      <c r="J193" s="87"/>
      <c r="K193" s="87"/>
      <c r="L193" s="87"/>
      <c r="M193" s="87"/>
      <c r="N193" s="87"/>
      <c r="O193" s="87"/>
    </row>
    <row r="194" spans="7:15" s="96" customFormat="1" ht="13.8" x14ac:dyDescent="0.3">
      <c r="G194" s="87"/>
      <c r="H194" s="87"/>
      <c r="I194" s="87"/>
      <c r="J194" s="87"/>
      <c r="K194" s="87"/>
      <c r="L194" s="87"/>
      <c r="M194" s="87"/>
      <c r="N194" s="87"/>
      <c r="O194" s="87"/>
    </row>
    <row r="195" spans="7:15" s="96" customFormat="1" ht="13.8" x14ac:dyDescent="0.3">
      <c r="G195" s="87"/>
      <c r="H195" s="87"/>
      <c r="I195" s="87"/>
      <c r="J195" s="87"/>
      <c r="K195" s="87"/>
      <c r="L195" s="87"/>
      <c r="M195" s="87"/>
      <c r="N195" s="87"/>
      <c r="O195" s="87"/>
    </row>
    <row r="196" spans="7:15" s="96" customFormat="1" ht="13.8" x14ac:dyDescent="0.3">
      <c r="G196" s="87"/>
      <c r="H196" s="87"/>
      <c r="I196" s="87"/>
      <c r="J196" s="87"/>
      <c r="K196" s="87"/>
      <c r="L196" s="87"/>
      <c r="M196" s="87"/>
      <c r="N196" s="87"/>
      <c r="O196" s="87"/>
    </row>
    <row r="197" spans="7:15" s="96" customFormat="1" ht="13.8" x14ac:dyDescent="0.3">
      <c r="G197" s="87"/>
      <c r="H197" s="87"/>
      <c r="I197" s="87"/>
      <c r="J197" s="87"/>
      <c r="K197" s="87"/>
      <c r="L197" s="87"/>
      <c r="M197" s="87"/>
      <c r="N197" s="87"/>
      <c r="O197" s="87"/>
    </row>
    <row r="198" spans="7:15" s="96" customFormat="1" ht="13.8" x14ac:dyDescent="0.3">
      <c r="G198" s="87"/>
      <c r="H198" s="87"/>
      <c r="I198" s="87"/>
      <c r="J198" s="87"/>
      <c r="K198" s="87"/>
      <c r="L198" s="87"/>
      <c r="M198" s="87"/>
      <c r="N198" s="87"/>
      <c r="O198" s="87"/>
    </row>
    <row r="199" spans="7:15" s="96" customFormat="1" ht="13.8" x14ac:dyDescent="0.3">
      <c r="G199" s="87"/>
      <c r="H199" s="87"/>
      <c r="I199" s="87"/>
      <c r="J199" s="87"/>
      <c r="K199" s="87"/>
      <c r="L199" s="87"/>
      <c r="M199" s="87"/>
      <c r="N199" s="87"/>
      <c r="O199" s="87"/>
    </row>
    <row r="200" spans="7:15" s="96" customFormat="1" ht="13.8" x14ac:dyDescent="0.3">
      <c r="G200" s="87"/>
      <c r="H200" s="87"/>
      <c r="I200" s="87"/>
      <c r="J200" s="87"/>
      <c r="K200" s="87"/>
      <c r="L200" s="87"/>
      <c r="M200" s="87"/>
      <c r="N200" s="87"/>
      <c r="O200" s="87"/>
    </row>
    <row r="201" spans="7:15" s="96" customFormat="1" ht="13.8" x14ac:dyDescent="0.3">
      <c r="G201" s="87"/>
      <c r="H201" s="87"/>
      <c r="I201" s="87"/>
      <c r="J201" s="87"/>
      <c r="K201" s="87"/>
      <c r="L201" s="87"/>
      <c r="M201" s="87"/>
      <c r="N201" s="87"/>
      <c r="O201" s="87"/>
    </row>
    <row r="202" spans="7:15" s="96" customFormat="1" ht="13.8" x14ac:dyDescent="0.3">
      <c r="G202" s="87"/>
      <c r="H202" s="87"/>
      <c r="I202" s="87"/>
      <c r="J202" s="87"/>
      <c r="K202" s="87"/>
      <c r="L202" s="87"/>
      <c r="M202" s="87"/>
      <c r="N202" s="87"/>
      <c r="O202" s="87"/>
    </row>
    <row r="203" spans="7:15" s="96" customFormat="1" ht="13.8" x14ac:dyDescent="0.3">
      <c r="G203" s="87"/>
      <c r="H203" s="87"/>
      <c r="I203" s="87"/>
      <c r="J203" s="87"/>
      <c r="K203" s="87"/>
      <c r="L203" s="87"/>
      <c r="M203" s="87"/>
      <c r="N203" s="87"/>
      <c r="O203" s="87"/>
    </row>
    <row r="204" spans="7:15" s="96" customFormat="1" ht="13.8" x14ac:dyDescent="0.3">
      <c r="G204" s="87"/>
      <c r="H204" s="87"/>
      <c r="I204" s="87"/>
      <c r="J204" s="87"/>
      <c r="K204" s="87"/>
      <c r="L204" s="87"/>
      <c r="M204" s="87"/>
      <c r="N204" s="87"/>
      <c r="O204" s="87"/>
    </row>
    <row r="205" spans="7:15" s="96" customFormat="1" ht="13.8" x14ac:dyDescent="0.3">
      <c r="G205" s="87"/>
      <c r="H205" s="87"/>
      <c r="I205" s="87"/>
      <c r="J205" s="87"/>
      <c r="K205" s="87"/>
      <c r="L205" s="87"/>
      <c r="M205" s="87"/>
      <c r="N205" s="87"/>
      <c r="O205" s="87"/>
    </row>
    <row r="206" spans="7:15" s="96" customFormat="1" ht="13.8" x14ac:dyDescent="0.3">
      <c r="G206" s="87"/>
      <c r="H206" s="87"/>
      <c r="I206" s="87"/>
      <c r="J206" s="87"/>
      <c r="K206" s="87"/>
      <c r="L206" s="87"/>
      <c r="M206" s="87"/>
      <c r="N206" s="87"/>
      <c r="O206" s="87"/>
    </row>
    <row r="207" spans="7:15" s="96" customFormat="1" ht="13.8" x14ac:dyDescent="0.3">
      <c r="G207" s="87"/>
      <c r="H207" s="87"/>
      <c r="I207" s="87"/>
      <c r="J207" s="87"/>
      <c r="K207" s="87"/>
      <c r="L207" s="87"/>
      <c r="M207" s="87"/>
      <c r="N207" s="87"/>
      <c r="O207" s="87"/>
    </row>
    <row r="208" spans="7:15" s="96" customFormat="1" ht="13.8" x14ac:dyDescent="0.3">
      <c r="G208" s="87"/>
      <c r="H208" s="87"/>
      <c r="I208" s="87"/>
      <c r="J208" s="87"/>
      <c r="K208" s="87"/>
      <c r="L208" s="87"/>
      <c r="M208" s="87"/>
      <c r="N208" s="87"/>
      <c r="O208" s="87"/>
    </row>
    <row r="209" spans="7:15" s="96" customFormat="1" ht="13.8" x14ac:dyDescent="0.3">
      <c r="G209" s="87"/>
      <c r="H209" s="87"/>
      <c r="I209" s="87"/>
      <c r="J209" s="87"/>
      <c r="K209" s="87"/>
      <c r="L209" s="87"/>
      <c r="M209" s="87"/>
      <c r="N209" s="87"/>
      <c r="O209" s="87"/>
    </row>
    <row r="210" spans="7:15" s="96" customFormat="1" ht="13.8" x14ac:dyDescent="0.3">
      <c r="G210" s="87"/>
      <c r="H210" s="87"/>
      <c r="I210" s="87"/>
      <c r="J210" s="87"/>
      <c r="K210" s="87"/>
      <c r="L210" s="87"/>
      <c r="M210" s="87"/>
      <c r="N210" s="87"/>
      <c r="O210" s="87"/>
    </row>
    <row r="211" spans="7:15" s="96" customFormat="1" ht="13.8" x14ac:dyDescent="0.3">
      <c r="G211" s="87"/>
      <c r="H211" s="87"/>
      <c r="I211" s="87"/>
      <c r="J211" s="87"/>
      <c r="K211" s="87"/>
      <c r="L211" s="87"/>
      <c r="M211" s="87"/>
      <c r="N211" s="87"/>
      <c r="O211" s="87"/>
    </row>
    <row r="212" spans="7:15" s="96" customFormat="1" ht="13.8" x14ac:dyDescent="0.3">
      <c r="G212" s="87"/>
      <c r="H212" s="87"/>
      <c r="I212" s="87"/>
      <c r="J212" s="87"/>
      <c r="K212" s="87"/>
      <c r="L212" s="87"/>
      <c r="M212" s="87"/>
      <c r="N212" s="87"/>
      <c r="O212" s="87"/>
    </row>
    <row r="213" spans="7:15" s="96" customFormat="1" ht="13.8" x14ac:dyDescent="0.3">
      <c r="G213" s="87"/>
      <c r="H213" s="87"/>
      <c r="I213" s="87"/>
      <c r="J213" s="87"/>
      <c r="K213" s="87"/>
      <c r="L213" s="87"/>
      <c r="M213" s="87"/>
      <c r="N213" s="87"/>
      <c r="O213" s="87"/>
    </row>
    <row r="214" spans="7:15" s="96" customFormat="1" ht="13.8" x14ac:dyDescent="0.3">
      <c r="G214" s="87"/>
      <c r="H214" s="87"/>
      <c r="I214" s="87"/>
      <c r="J214" s="87"/>
      <c r="K214" s="87"/>
      <c r="L214" s="87"/>
      <c r="M214" s="87"/>
      <c r="N214" s="87"/>
      <c r="O214" s="87"/>
    </row>
    <row r="215" spans="7:15" s="96" customFormat="1" ht="13.8" x14ac:dyDescent="0.3">
      <c r="G215" s="87"/>
      <c r="H215" s="87"/>
      <c r="I215" s="87"/>
      <c r="J215" s="87"/>
      <c r="K215" s="87"/>
      <c r="L215" s="87"/>
      <c r="M215" s="87"/>
      <c r="N215" s="87"/>
      <c r="O215" s="87"/>
    </row>
    <row r="216" spans="7:15" s="96" customFormat="1" ht="13.8" x14ac:dyDescent="0.3">
      <c r="G216" s="87"/>
      <c r="H216" s="87"/>
      <c r="I216" s="87"/>
      <c r="J216" s="87"/>
      <c r="K216" s="87"/>
      <c r="L216" s="87"/>
      <c r="M216" s="87"/>
      <c r="N216" s="87"/>
      <c r="O216" s="87"/>
    </row>
    <row r="217" spans="7:15" s="96" customFormat="1" ht="13.8" x14ac:dyDescent="0.3">
      <c r="G217" s="87"/>
      <c r="H217" s="87"/>
      <c r="I217" s="87"/>
      <c r="J217" s="87"/>
      <c r="K217" s="87"/>
      <c r="L217" s="87"/>
      <c r="M217" s="87"/>
      <c r="N217" s="87"/>
      <c r="O217" s="87"/>
    </row>
    <row r="218" spans="7:15" s="96" customFormat="1" ht="13.8" x14ac:dyDescent="0.3">
      <c r="G218" s="87"/>
      <c r="H218" s="87"/>
      <c r="I218" s="87"/>
      <c r="J218" s="87"/>
      <c r="K218" s="87"/>
      <c r="L218" s="87"/>
      <c r="M218" s="87"/>
      <c r="N218" s="87"/>
      <c r="O218" s="87"/>
    </row>
    <row r="219" spans="7:15" s="96" customFormat="1" ht="13.8" x14ac:dyDescent="0.3">
      <c r="G219" s="87"/>
      <c r="H219" s="87"/>
      <c r="I219" s="87"/>
      <c r="J219" s="87"/>
      <c r="K219" s="87"/>
      <c r="L219" s="87"/>
      <c r="M219" s="87"/>
      <c r="N219" s="87"/>
      <c r="O219" s="87"/>
    </row>
    <row r="220" spans="7:15" s="96" customFormat="1" ht="13.8" x14ac:dyDescent="0.3">
      <c r="G220" s="87"/>
      <c r="H220" s="87"/>
      <c r="I220" s="87"/>
      <c r="J220" s="87"/>
      <c r="K220" s="87"/>
      <c r="L220" s="87"/>
      <c r="M220" s="87"/>
      <c r="N220" s="87"/>
      <c r="O220" s="87"/>
    </row>
    <row r="221" spans="7:15" s="96" customFormat="1" ht="13.8" x14ac:dyDescent="0.3">
      <c r="G221" s="87"/>
      <c r="H221" s="87"/>
      <c r="I221" s="87"/>
      <c r="J221" s="87"/>
      <c r="K221" s="87"/>
      <c r="L221" s="87"/>
      <c r="M221" s="87"/>
      <c r="N221" s="87"/>
      <c r="O221" s="87"/>
    </row>
    <row r="222" spans="7:15" s="96" customFormat="1" ht="13.8" x14ac:dyDescent="0.3">
      <c r="G222" s="87"/>
      <c r="H222" s="87"/>
      <c r="I222" s="87"/>
      <c r="J222" s="87"/>
      <c r="K222" s="87"/>
      <c r="L222" s="87"/>
      <c r="M222" s="87"/>
      <c r="N222" s="87"/>
      <c r="O222" s="87"/>
    </row>
    <row r="223" spans="7:15" s="96" customFormat="1" ht="13.8" x14ac:dyDescent="0.3">
      <c r="G223" s="87"/>
      <c r="H223" s="87"/>
      <c r="I223" s="87"/>
      <c r="J223" s="87"/>
      <c r="K223" s="87"/>
      <c r="L223" s="87"/>
      <c r="M223" s="87"/>
      <c r="N223" s="87"/>
      <c r="O223" s="87"/>
    </row>
    <row r="224" spans="7:15" s="96" customFormat="1" ht="13.8" x14ac:dyDescent="0.3">
      <c r="G224" s="87"/>
      <c r="H224" s="87"/>
      <c r="I224" s="87"/>
      <c r="J224" s="87"/>
      <c r="K224" s="87"/>
      <c r="L224" s="87"/>
      <c r="M224" s="87"/>
      <c r="N224" s="87"/>
      <c r="O224" s="87"/>
    </row>
    <row r="225" spans="7:15" s="96" customFormat="1" ht="13.8" x14ac:dyDescent="0.3">
      <c r="G225" s="87"/>
      <c r="H225" s="87"/>
      <c r="I225" s="87"/>
      <c r="J225" s="87"/>
      <c r="K225" s="87"/>
      <c r="L225" s="87"/>
      <c r="M225" s="87"/>
      <c r="N225" s="87"/>
      <c r="O225" s="87"/>
    </row>
    <row r="226" spans="7:15" s="96" customFormat="1" ht="13.8" x14ac:dyDescent="0.3">
      <c r="G226" s="87"/>
      <c r="H226" s="87"/>
      <c r="I226" s="87"/>
      <c r="J226" s="87"/>
      <c r="K226" s="87"/>
      <c r="L226" s="87"/>
      <c r="M226" s="87"/>
      <c r="N226" s="87"/>
      <c r="O226" s="87"/>
    </row>
    <row r="227" spans="7:15" s="96" customFormat="1" ht="13.8" x14ac:dyDescent="0.3">
      <c r="G227" s="87"/>
      <c r="H227" s="87"/>
      <c r="I227" s="87"/>
      <c r="J227" s="87"/>
      <c r="K227" s="87"/>
      <c r="L227" s="87"/>
      <c r="M227" s="87"/>
      <c r="N227" s="87"/>
      <c r="O227" s="87"/>
    </row>
    <row r="228" spans="7:15" s="96" customFormat="1" ht="13.8" x14ac:dyDescent="0.3">
      <c r="G228" s="87"/>
      <c r="H228" s="87"/>
      <c r="I228" s="87"/>
      <c r="J228" s="87"/>
      <c r="K228" s="87"/>
      <c r="L228" s="87"/>
      <c r="M228" s="87"/>
      <c r="N228" s="87"/>
      <c r="O228" s="87"/>
    </row>
    <row r="229" spans="7:15" s="96" customFormat="1" ht="13.8" x14ac:dyDescent="0.3">
      <c r="G229" s="87"/>
      <c r="H229" s="87"/>
      <c r="I229" s="87"/>
      <c r="J229" s="87"/>
      <c r="K229" s="87"/>
      <c r="L229" s="87"/>
      <c r="M229" s="87"/>
      <c r="N229" s="87"/>
      <c r="O229" s="87"/>
    </row>
    <row r="230" spans="7:15" s="96" customFormat="1" ht="13.8" x14ac:dyDescent="0.3">
      <c r="G230" s="87"/>
      <c r="H230" s="87"/>
      <c r="I230" s="87"/>
      <c r="J230" s="87"/>
      <c r="K230" s="87"/>
      <c r="L230" s="87"/>
      <c r="M230" s="87"/>
      <c r="N230" s="87"/>
      <c r="O230" s="87"/>
    </row>
    <row r="231" spans="7:15" s="96" customFormat="1" ht="13.8" x14ac:dyDescent="0.3">
      <c r="G231" s="87"/>
      <c r="H231" s="87"/>
      <c r="I231" s="87"/>
      <c r="J231" s="87"/>
      <c r="K231" s="87"/>
      <c r="L231" s="87"/>
      <c r="M231" s="87"/>
      <c r="N231" s="87"/>
      <c r="O231" s="87"/>
    </row>
    <row r="232" spans="7:15" s="96" customFormat="1" ht="13.8" x14ac:dyDescent="0.3">
      <c r="G232" s="87"/>
      <c r="H232" s="87"/>
      <c r="I232" s="87"/>
      <c r="J232" s="87"/>
      <c r="K232" s="87"/>
      <c r="L232" s="87"/>
      <c r="M232" s="87"/>
      <c r="N232" s="87"/>
      <c r="O232" s="87"/>
    </row>
    <row r="233" spans="7:15" s="96" customFormat="1" ht="13.8" x14ac:dyDescent="0.3">
      <c r="G233" s="87"/>
      <c r="H233" s="87"/>
      <c r="I233" s="87"/>
      <c r="J233" s="87"/>
      <c r="K233" s="87"/>
      <c r="L233" s="87"/>
      <c r="M233" s="87"/>
      <c r="N233" s="87"/>
      <c r="O233" s="87"/>
    </row>
    <row r="234" spans="7:15" s="96" customFormat="1" ht="13.8" x14ac:dyDescent="0.3">
      <c r="G234" s="87"/>
      <c r="H234" s="87"/>
      <c r="I234" s="87"/>
      <c r="J234" s="87"/>
      <c r="K234" s="87"/>
      <c r="L234" s="87"/>
      <c r="M234" s="87"/>
      <c r="N234" s="87"/>
      <c r="O234" s="87"/>
    </row>
    <row r="235" spans="7:15" s="96" customFormat="1" ht="13.8" x14ac:dyDescent="0.3">
      <c r="G235" s="87"/>
      <c r="H235" s="87"/>
      <c r="I235" s="87"/>
      <c r="J235" s="87"/>
      <c r="K235" s="87"/>
      <c r="L235" s="87"/>
      <c r="M235" s="87"/>
      <c r="N235" s="87"/>
      <c r="O235" s="87"/>
    </row>
    <row r="236" spans="7:15" s="96" customFormat="1" ht="13.8" x14ac:dyDescent="0.3">
      <c r="G236" s="87"/>
      <c r="H236" s="87"/>
      <c r="I236" s="87"/>
      <c r="J236" s="87"/>
      <c r="K236" s="87"/>
      <c r="L236" s="87"/>
      <c r="M236" s="87"/>
      <c r="N236" s="87"/>
      <c r="O236" s="87"/>
    </row>
    <row r="237" spans="7:15" s="96" customFormat="1" ht="13.8" x14ac:dyDescent="0.3">
      <c r="G237" s="87"/>
      <c r="H237" s="87"/>
      <c r="I237" s="87"/>
      <c r="J237" s="87"/>
      <c r="K237" s="87"/>
      <c r="L237" s="87"/>
      <c r="M237" s="87"/>
      <c r="N237" s="87"/>
      <c r="O237" s="87"/>
    </row>
    <row r="238" spans="7:15" s="96" customFormat="1" ht="13.8" x14ac:dyDescent="0.3">
      <c r="G238" s="87"/>
      <c r="H238" s="87"/>
      <c r="I238" s="87"/>
      <c r="J238" s="87"/>
      <c r="K238" s="87"/>
      <c r="L238" s="87"/>
      <c r="M238" s="87"/>
      <c r="N238" s="87"/>
      <c r="O238" s="87"/>
    </row>
    <row r="239" spans="7:15" s="96" customFormat="1" ht="13.8" x14ac:dyDescent="0.3">
      <c r="G239" s="87"/>
      <c r="H239" s="87"/>
      <c r="I239" s="87"/>
      <c r="J239" s="87"/>
      <c r="K239" s="87"/>
      <c r="L239" s="87"/>
      <c r="M239" s="87"/>
      <c r="N239" s="87"/>
      <c r="O239" s="87"/>
    </row>
    <row r="240" spans="7:15" s="96" customFormat="1" ht="13.8" x14ac:dyDescent="0.3">
      <c r="G240" s="87"/>
      <c r="H240" s="87"/>
      <c r="I240" s="87"/>
      <c r="J240" s="87"/>
      <c r="K240" s="87"/>
      <c r="L240" s="87"/>
      <c r="M240" s="87"/>
      <c r="N240" s="87"/>
      <c r="O240" s="87"/>
    </row>
    <row r="241" spans="7:15" s="96" customFormat="1" ht="13.8" x14ac:dyDescent="0.3">
      <c r="G241" s="87"/>
      <c r="H241" s="87"/>
      <c r="I241" s="87"/>
      <c r="J241" s="87"/>
      <c r="K241" s="87"/>
      <c r="L241" s="87"/>
      <c r="M241" s="87"/>
      <c r="N241" s="87"/>
      <c r="O241" s="87"/>
    </row>
    <row r="242" spans="7:15" s="96" customFormat="1" ht="13.8" x14ac:dyDescent="0.3">
      <c r="G242" s="87"/>
      <c r="H242" s="87"/>
      <c r="I242" s="87"/>
      <c r="J242" s="87"/>
      <c r="K242" s="87"/>
      <c r="L242" s="87"/>
      <c r="M242" s="87"/>
      <c r="N242" s="87"/>
      <c r="O242" s="87"/>
    </row>
    <row r="243" spans="7:15" s="96" customFormat="1" ht="13.8" x14ac:dyDescent="0.3">
      <c r="G243" s="87"/>
      <c r="H243" s="87"/>
      <c r="I243" s="87"/>
      <c r="J243" s="87"/>
      <c r="K243" s="87"/>
      <c r="L243" s="87"/>
      <c r="M243" s="87"/>
      <c r="N243" s="87"/>
      <c r="O243" s="87"/>
    </row>
    <row r="244" spans="7:15" s="96" customFormat="1" ht="13.8" x14ac:dyDescent="0.3">
      <c r="G244" s="87"/>
      <c r="H244" s="87"/>
      <c r="I244" s="87"/>
      <c r="J244" s="87"/>
      <c r="K244" s="87"/>
      <c r="L244" s="87"/>
      <c r="M244" s="87"/>
      <c r="N244" s="87"/>
      <c r="O244" s="87"/>
    </row>
    <row r="245" spans="7:15" s="96" customFormat="1" ht="13.8" x14ac:dyDescent="0.3">
      <c r="G245" s="87"/>
      <c r="H245" s="87"/>
      <c r="I245" s="87"/>
      <c r="J245" s="87"/>
      <c r="K245" s="87"/>
      <c r="L245" s="87"/>
      <c r="M245" s="87"/>
      <c r="N245" s="87"/>
      <c r="O245" s="87"/>
    </row>
    <row r="246" spans="7:15" s="96" customFormat="1" ht="13.8" x14ac:dyDescent="0.3">
      <c r="G246" s="87"/>
      <c r="H246" s="87"/>
      <c r="I246" s="87"/>
      <c r="J246" s="87"/>
      <c r="K246" s="87"/>
      <c r="L246" s="87"/>
      <c r="M246" s="87"/>
      <c r="N246" s="87"/>
      <c r="O246" s="87"/>
    </row>
    <row r="247" spans="7:15" s="96" customFormat="1" ht="13.8" x14ac:dyDescent="0.3">
      <c r="G247" s="87"/>
      <c r="H247" s="87"/>
      <c r="I247" s="87"/>
      <c r="J247" s="87"/>
      <c r="K247" s="87"/>
      <c r="L247" s="87"/>
      <c r="M247" s="87"/>
      <c r="N247" s="87"/>
      <c r="O247" s="87"/>
    </row>
    <row r="248" spans="7:15" s="96" customFormat="1" ht="13.8" x14ac:dyDescent="0.3">
      <c r="G248" s="87"/>
      <c r="H248" s="87"/>
      <c r="I248" s="87"/>
      <c r="J248" s="87"/>
      <c r="K248" s="87"/>
      <c r="L248" s="87"/>
      <c r="M248" s="87"/>
      <c r="N248" s="87"/>
      <c r="O248" s="87"/>
    </row>
    <row r="249" spans="7:15" s="96" customFormat="1" ht="13.8" x14ac:dyDescent="0.3">
      <c r="G249" s="87"/>
      <c r="H249" s="87"/>
      <c r="I249" s="87"/>
      <c r="J249" s="87"/>
      <c r="K249" s="87"/>
      <c r="L249" s="87"/>
      <c r="M249" s="87"/>
      <c r="N249" s="87"/>
      <c r="O249" s="87"/>
    </row>
    <row r="250" spans="7:15" s="96" customFormat="1" ht="13.8" x14ac:dyDescent="0.3">
      <c r="G250" s="87"/>
      <c r="H250" s="87"/>
      <c r="I250" s="87"/>
      <c r="J250" s="87"/>
      <c r="K250" s="87"/>
      <c r="L250" s="87"/>
      <c r="M250" s="87"/>
      <c r="N250" s="87"/>
      <c r="O250" s="87"/>
    </row>
    <row r="251" spans="7:15" s="96" customFormat="1" ht="13.8" x14ac:dyDescent="0.3">
      <c r="G251" s="87"/>
      <c r="H251" s="87"/>
      <c r="I251" s="87"/>
      <c r="J251" s="87"/>
      <c r="K251" s="87"/>
      <c r="L251" s="87"/>
      <c r="M251" s="87"/>
      <c r="N251" s="87"/>
      <c r="O251" s="87"/>
    </row>
    <row r="252" spans="7:15" s="96" customFormat="1" ht="13.8" x14ac:dyDescent="0.3">
      <c r="G252" s="87"/>
      <c r="H252" s="87"/>
      <c r="I252" s="87"/>
      <c r="J252" s="87"/>
      <c r="K252" s="87"/>
      <c r="L252" s="87"/>
      <c r="M252" s="87"/>
      <c r="N252" s="87"/>
      <c r="O252" s="87"/>
    </row>
    <row r="253" spans="7:15" s="96" customFormat="1" ht="13.8" x14ac:dyDescent="0.3">
      <c r="G253" s="87"/>
      <c r="H253" s="87"/>
      <c r="I253" s="87"/>
      <c r="J253" s="87"/>
      <c r="K253" s="87"/>
      <c r="L253" s="87"/>
      <c r="M253" s="87"/>
      <c r="N253" s="87"/>
      <c r="O253" s="87"/>
    </row>
    <row r="254" spans="7:15" s="96" customFormat="1" ht="13.8" x14ac:dyDescent="0.3">
      <c r="G254" s="87"/>
      <c r="H254" s="87"/>
      <c r="I254" s="87"/>
      <c r="J254" s="87"/>
      <c r="K254" s="87"/>
      <c r="L254" s="87"/>
      <c r="M254" s="87"/>
      <c r="N254" s="87"/>
      <c r="O254" s="87"/>
    </row>
    <row r="255" spans="7:15" s="96" customFormat="1" ht="13.8" x14ac:dyDescent="0.3">
      <c r="G255" s="87"/>
      <c r="H255" s="87"/>
      <c r="I255" s="87"/>
      <c r="J255" s="87"/>
      <c r="K255" s="87"/>
      <c r="L255" s="87"/>
      <c r="M255" s="87"/>
      <c r="N255" s="87"/>
      <c r="O255" s="87"/>
    </row>
    <row r="256" spans="7:15" s="96" customFormat="1" ht="13.8" x14ac:dyDescent="0.3">
      <c r="G256" s="87"/>
      <c r="H256" s="87"/>
      <c r="I256" s="87"/>
      <c r="J256" s="87"/>
      <c r="K256" s="87"/>
      <c r="L256" s="87"/>
      <c r="M256" s="87"/>
      <c r="N256" s="87"/>
      <c r="O256" s="87"/>
    </row>
    <row r="257" spans="7:15" s="96" customFormat="1" ht="13.8" x14ac:dyDescent="0.3">
      <c r="G257" s="87"/>
      <c r="H257" s="87"/>
      <c r="I257" s="87"/>
      <c r="J257" s="87"/>
      <c r="K257" s="87"/>
      <c r="L257" s="87"/>
      <c r="M257" s="87"/>
      <c r="N257" s="87"/>
      <c r="O257" s="87"/>
    </row>
    <row r="258" spans="7:15" s="96" customFormat="1" ht="13.8" x14ac:dyDescent="0.3">
      <c r="G258" s="87"/>
      <c r="H258" s="87"/>
      <c r="I258" s="87"/>
      <c r="J258" s="87"/>
      <c r="K258" s="87"/>
      <c r="L258" s="87"/>
      <c r="M258" s="87"/>
      <c r="N258" s="87"/>
      <c r="O258" s="87"/>
    </row>
    <row r="259" spans="7:15" s="96" customFormat="1" ht="13.8" x14ac:dyDescent="0.3">
      <c r="G259" s="87"/>
      <c r="H259" s="87"/>
      <c r="I259" s="87"/>
      <c r="J259" s="87"/>
      <c r="K259" s="87"/>
      <c r="L259" s="87"/>
      <c r="M259" s="87"/>
      <c r="N259" s="87"/>
      <c r="O259" s="87"/>
    </row>
    <row r="260" spans="7:15" s="96" customFormat="1" ht="13.8" x14ac:dyDescent="0.3">
      <c r="G260" s="87"/>
      <c r="H260" s="87"/>
      <c r="I260" s="87"/>
      <c r="J260" s="87"/>
      <c r="K260" s="87"/>
      <c r="L260" s="87"/>
      <c r="M260" s="87"/>
      <c r="N260" s="87"/>
      <c r="O260" s="87"/>
    </row>
    <row r="261" spans="7:15" s="96" customFormat="1" ht="13.8" x14ac:dyDescent="0.3">
      <c r="G261" s="87"/>
      <c r="H261" s="87"/>
      <c r="I261" s="87"/>
      <c r="J261" s="87"/>
      <c r="K261" s="87"/>
      <c r="L261" s="87"/>
      <c r="M261" s="87"/>
      <c r="N261" s="87"/>
      <c r="O261" s="87"/>
    </row>
    <row r="262" spans="7:15" s="96" customFormat="1" ht="13.8" x14ac:dyDescent="0.3">
      <c r="G262" s="87"/>
      <c r="H262" s="87"/>
      <c r="I262" s="87"/>
      <c r="J262" s="87"/>
      <c r="K262" s="87"/>
      <c r="L262" s="87"/>
      <c r="M262" s="87"/>
      <c r="N262" s="87"/>
      <c r="O262" s="87"/>
    </row>
    <row r="263" spans="7:15" s="96" customFormat="1" ht="13.8" x14ac:dyDescent="0.3">
      <c r="G263" s="87"/>
      <c r="H263" s="87"/>
      <c r="I263" s="87"/>
      <c r="J263" s="87"/>
      <c r="K263" s="87"/>
      <c r="L263" s="87"/>
      <c r="M263" s="87"/>
      <c r="N263" s="87"/>
      <c r="O263" s="87"/>
    </row>
    <row r="264" spans="7:15" s="96" customFormat="1" ht="13.8" x14ac:dyDescent="0.3">
      <c r="G264" s="87"/>
      <c r="H264" s="87"/>
      <c r="I264" s="87"/>
      <c r="J264" s="87"/>
      <c r="K264" s="87"/>
      <c r="L264" s="87"/>
      <c r="M264" s="87"/>
      <c r="N264" s="87"/>
      <c r="O264" s="87"/>
    </row>
    <row r="265" spans="7:15" s="96" customFormat="1" ht="13.8" x14ac:dyDescent="0.3">
      <c r="G265" s="87"/>
      <c r="H265" s="87"/>
      <c r="I265" s="87"/>
      <c r="J265" s="87"/>
      <c r="K265" s="87"/>
      <c r="L265" s="87"/>
      <c r="M265" s="87"/>
      <c r="N265" s="87"/>
      <c r="O265" s="87"/>
    </row>
    <row r="266" spans="7:15" s="96" customFormat="1" ht="13.8" x14ac:dyDescent="0.3">
      <c r="G266" s="87"/>
      <c r="H266" s="87"/>
      <c r="I266" s="87"/>
      <c r="J266" s="87"/>
      <c r="K266" s="87"/>
      <c r="L266" s="87"/>
      <c r="M266" s="87"/>
      <c r="N266" s="87"/>
      <c r="O266" s="87"/>
    </row>
    <row r="267" spans="7:15" s="96" customFormat="1" ht="13.8" x14ac:dyDescent="0.3">
      <c r="G267" s="87"/>
      <c r="H267" s="87"/>
      <c r="I267" s="87"/>
      <c r="J267" s="87"/>
      <c r="K267" s="87"/>
      <c r="L267" s="87"/>
      <c r="M267" s="87"/>
      <c r="N267" s="87"/>
      <c r="O267" s="87"/>
    </row>
    <row r="268" spans="7:15" s="96" customFormat="1" ht="13.8" x14ac:dyDescent="0.3">
      <c r="G268" s="87"/>
      <c r="H268" s="87"/>
      <c r="I268" s="87"/>
      <c r="J268" s="87"/>
      <c r="K268" s="87"/>
      <c r="L268" s="87"/>
      <c r="M268" s="87"/>
      <c r="N268" s="87"/>
      <c r="O268" s="87"/>
    </row>
    <row r="269" spans="7:15" s="96" customFormat="1" ht="13.8" x14ac:dyDescent="0.3">
      <c r="G269" s="87"/>
      <c r="H269" s="87"/>
      <c r="I269" s="87"/>
      <c r="J269" s="87"/>
      <c r="K269" s="87"/>
      <c r="L269" s="87"/>
      <c r="M269" s="87"/>
      <c r="N269" s="87"/>
      <c r="O269" s="87"/>
    </row>
    <row r="270" spans="7:15" s="96" customFormat="1" ht="13.8" x14ac:dyDescent="0.3">
      <c r="G270" s="87"/>
      <c r="H270" s="87"/>
      <c r="I270" s="87"/>
      <c r="J270" s="87"/>
      <c r="K270" s="87"/>
      <c r="L270" s="87"/>
      <c r="M270" s="87"/>
      <c r="N270" s="87"/>
      <c r="O270" s="87"/>
    </row>
    <row r="271" spans="7:15" s="96" customFormat="1" ht="13.8" x14ac:dyDescent="0.3">
      <c r="G271" s="87"/>
      <c r="H271" s="87"/>
      <c r="I271" s="87"/>
      <c r="J271" s="87"/>
      <c r="K271" s="87"/>
      <c r="L271" s="87"/>
      <c r="M271" s="87"/>
      <c r="N271" s="87"/>
      <c r="O271" s="87"/>
    </row>
    <row r="272" spans="7:15" s="96" customFormat="1" ht="13.8" x14ac:dyDescent="0.3">
      <c r="G272" s="87"/>
      <c r="H272" s="87"/>
      <c r="I272" s="87"/>
      <c r="J272" s="87"/>
      <c r="K272" s="87"/>
      <c r="L272" s="87"/>
      <c r="M272" s="87"/>
      <c r="N272" s="87"/>
      <c r="O272" s="87"/>
    </row>
    <row r="273" spans="7:15" s="96" customFormat="1" ht="13.8" x14ac:dyDescent="0.3">
      <c r="G273" s="87"/>
      <c r="H273" s="87"/>
      <c r="I273" s="87"/>
      <c r="J273" s="87"/>
      <c r="K273" s="87"/>
      <c r="L273" s="87"/>
      <c r="M273" s="87"/>
      <c r="N273" s="87"/>
      <c r="O273" s="87"/>
    </row>
    <row r="274" spans="7:15" s="96" customFormat="1" ht="13.8" x14ac:dyDescent="0.3">
      <c r="G274" s="87"/>
      <c r="H274" s="87"/>
      <c r="I274" s="87"/>
      <c r="J274" s="87"/>
      <c r="K274" s="87"/>
      <c r="L274" s="87"/>
      <c r="M274" s="87"/>
      <c r="N274" s="87"/>
      <c r="O274" s="87"/>
    </row>
    <row r="275" spans="7:15" s="96" customFormat="1" ht="13.8" x14ac:dyDescent="0.3">
      <c r="G275" s="87"/>
      <c r="H275" s="87"/>
      <c r="I275" s="87"/>
      <c r="J275" s="87"/>
      <c r="K275" s="87"/>
      <c r="L275" s="87"/>
      <c r="M275" s="87"/>
      <c r="N275" s="87"/>
      <c r="O275" s="87"/>
    </row>
    <row r="276" spans="7:15" s="96" customFormat="1" ht="13.8" x14ac:dyDescent="0.3">
      <c r="G276" s="87"/>
      <c r="H276" s="87"/>
      <c r="I276" s="87"/>
      <c r="J276" s="87"/>
      <c r="K276" s="87"/>
      <c r="L276" s="87"/>
      <c r="M276" s="87"/>
      <c r="N276" s="87"/>
      <c r="O276" s="87"/>
    </row>
    <row r="277" spans="7:15" s="96" customFormat="1" ht="13.8" x14ac:dyDescent="0.3">
      <c r="G277" s="87"/>
      <c r="H277" s="87"/>
      <c r="I277" s="87"/>
      <c r="J277" s="87"/>
      <c r="K277" s="87"/>
      <c r="L277" s="87"/>
      <c r="M277" s="87"/>
      <c r="N277" s="87"/>
      <c r="O277" s="87"/>
    </row>
    <row r="278" spans="7:15" s="96" customFormat="1" ht="13.8" x14ac:dyDescent="0.3">
      <c r="G278" s="87"/>
      <c r="H278" s="87"/>
      <c r="I278" s="87"/>
      <c r="J278" s="87"/>
      <c r="K278" s="87"/>
      <c r="L278" s="87"/>
      <c r="M278" s="87"/>
      <c r="N278" s="87"/>
      <c r="O278" s="87"/>
    </row>
    <row r="279" spans="7:15" s="96" customFormat="1" ht="13.8" x14ac:dyDescent="0.3">
      <c r="G279" s="87"/>
      <c r="H279" s="87"/>
      <c r="I279" s="87"/>
      <c r="J279" s="87"/>
      <c r="K279" s="87"/>
      <c r="L279" s="87"/>
      <c r="M279" s="87"/>
      <c r="N279" s="87"/>
      <c r="O279" s="87"/>
    </row>
    <row r="280" spans="7:15" s="96" customFormat="1" ht="13.8" x14ac:dyDescent="0.3">
      <c r="G280" s="87"/>
      <c r="H280" s="87"/>
      <c r="I280" s="87"/>
      <c r="J280" s="87"/>
      <c r="K280" s="87"/>
      <c r="L280" s="87"/>
      <c r="M280" s="87"/>
      <c r="N280" s="87"/>
      <c r="O280" s="87"/>
    </row>
    <row r="281" spans="7:15" s="96" customFormat="1" ht="13.8" x14ac:dyDescent="0.3">
      <c r="G281" s="87"/>
      <c r="H281" s="87"/>
      <c r="I281" s="87"/>
      <c r="J281" s="87"/>
      <c r="K281" s="87"/>
      <c r="L281" s="87"/>
      <c r="M281" s="87"/>
      <c r="N281" s="87"/>
      <c r="O281" s="87"/>
    </row>
    <row r="282" spans="7:15" s="96" customFormat="1" ht="13.8" x14ac:dyDescent="0.3">
      <c r="G282" s="87"/>
      <c r="H282" s="87"/>
      <c r="I282" s="87"/>
      <c r="J282" s="87"/>
      <c r="K282" s="87"/>
      <c r="L282" s="87"/>
      <c r="M282" s="87"/>
      <c r="N282" s="87"/>
      <c r="O282" s="87"/>
    </row>
    <row r="283" spans="7:15" s="96" customFormat="1" ht="13.8" x14ac:dyDescent="0.3">
      <c r="G283" s="87"/>
      <c r="H283" s="87"/>
      <c r="I283" s="87"/>
      <c r="J283" s="87"/>
      <c r="K283" s="87"/>
      <c r="L283" s="87"/>
      <c r="M283" s="87"/>
      <c r="N283" s="87"/>
      <c r="O283" s="87"/>
    </row>
    <row r="284" spans="7:15" s="96" customFormat="1" ht="13.8" x14ac:dyDescent="0.3">
      <c r="G284" s="87"/>
      <c r="H284" s="87"/>
      <c r="I284" s="87"/>
      <c r="J284" s="87"/>
      <c r="K284" s="87"/>
      <c r="L284" s="87"/>
      <c r="M284" s="87"/>
      <c r="N284" s="87"/>
      <c r="O284" s="87"/>
    </row>
    <row r="285" spans="7:15" s="96" customFormat="1" ht="13.8" x14ac:dyDescent="0.3">
      <c r="G285" s="87"/>
      <c r="H285" s="87"/>
      <c r="I285" s="87"/>
      <c r="J285" s="87"/>
      <c r="K285" s="87"/>
      <c r="L285" s="87"/>
      <c r="M285" s="87"/>
      <c r="N285" s="87"/>
      <c r="O285" s="87"/>
    </row>
    <row r="286" spans="7:15" s="96" customFormat="1" ht="13.8" x14ac:dyDescent="0.3">
      <c r="G286" s="87"/>
      <c r="H286" s="87"/>
      <c r="I286" s="87"/>
      <c r="J286" s="87"/>
      <c r="K286" s="87"/>
      <c r="L286" s="87"/>
      <c r="M286" s="87"/>
      <c r="N286" s="87"/>
      <c r="O286" s="87"/>
    </row>
    <row r="287" spans="7:15" s="96" customFormat="1" ht="13.8" x14ac:dyDescent="0.3">
      <c r="G287" s="87"/>
      <c r="H287" s="87"/>
      <c r="I287" s="87"/>
      <c r="J287" s="87"/>
      <c r="K287" s="87"/>
      <c r="L287" s="87"/>
      <c r="M287" s="87"/>
      <c r="N287" s="87"/>
      <c r="O287" s="87"/>
    </row>
    <row r="288" spans="7:15" s="96" customFormat="1" ht="13.8" x14ac:dyDescent="0.3">
      <c r="G288" s="87"/>
      <c r="H288" s="87"/>
      <c r="I288" s="87"/>
      <c r="J288" s="87"/>
      <c r="K288" s="87"/>
      <c r="L288" s="87"/>
      <c r="M288" s="87"/>
      <c r="N288" s="87"/>
      <c r="O288" s="87"/>
    </row>
    <row r="289" spans="7:15" s="96" customFormat="1" ht="13.8" x14ac:dyDescent="0.3">
      <c r="G289" s="87"/>
      <c r="H289" s="87"/>
      <c r="I289" s="87"/>
      <c r="J289" s="87"/>
      <c r="K289" s="87"/>
      <c r="L289" s="87"/>
      <c r="M289" s="87"/>
      <c r="N289" s="87"/>
      <c r="O289" s="87"/>
    </row>
    <row r="290" spans="7:15" s="96" customFormat="1" ht="13.8" x14ac:dyDescent="0.3">
      <c r="G290" s="87"/>
      <c r="H290" s="87"/>
      <c r="I290" s="87"/>
      <c r="J290" s="87"/>
      <c r="K290" s="87"/>
      <c r="L290" s="87"/>
      <c r="M290" s="87"/>
      <c r="N290" s="87"/>
      <c r="O290" s="87"/>
    </row>
    <row r="291" spans="7:15" s="96" customFormat="1" ht="13.8" x14ac:dyDescent="0.3">
      <c r="G291" s="87"/>
      <c r="H291" s="87"/>
      <c r="I291" s="87"/>
      <c r="J291" s="87"/>
      <c r="K291" s="87"/>
      <c r="L291" s="87"/>
      <c r="M291" s="87"/>
      <c r="N291" s="87"/>
      <c r="O291" s="87"/>
    </row>
    <row r="292" spans="7:15" s="96" customFormat="1" ht="13.8" x14ac:dyDescent="0.3">
      <c r="G292" s="87"/>
      <c r="H292" s="87"/>
      <c r="I292" s="87"/>
      <c r="J292" s="87"/>
      <c r="K292" s="87"/>
      <c r="L292" s="87"/>
      <c r="M292" s="87"/>
      <c r="N292" s="87"/>
      <c r="O292" s="87"/>
    </row>
    <row r="293" spans="7:15" s="96" customFormat="1" ht="13.8" x14ac:dyDescent="0.3">
      <c r="G293" s="87"/>
      <c r="H293" s="87"/>
      <c r="I293" s="87"/>
      <c r="J293" s="87"/>
      <c r="K293" s="87"/>
      <c r="L293" s="87"/>
      <c r="M293" s="87"/>
      <c r="N293" s="87"/>
      <c r="O293" s="87"/>
    </row>
    <row r="294" spans="7:15" s="96" customFormat="1" ht="13.8" x14ac:dyDescent="0.3">
      <c r="G294" s="87"/>
      <c r="H294" s="87"/>
      <c r="I294" s="87"/>
      <c r="J294" s="87"/>
      <c r="K294" s="87"/>
      <c r="L294" s="87"/>
      <c r="M294" s="87"/>
      <c r="N294" s="87"/>
      <c r="O294" s="87"/>
    </row>
    <row r="295" spans="7:15" s="96" customFormat="1" ht="13.8" x14ac:dyDescent="0.3">
      <c r="G295" s="87"/>
      <c r="H295" s="87"/>
      <c r="I295" s="87"/>
      <c r="J295" s="87"/>
      <c r="K295" s="87"/>
      <c r="L295" s="87"/>
      <c r="M295" s="87"/>
      <c r="N295" s="87"/>
      <c r="O295" s="87"/>
    </row>
    <row r="296" spans="7:15" s="96" customFormat="1" ht="13.8" x14ac:dyDescent="0.3">
      <c r="G296" s="87"/>
      <c r="H296" s="87"/>
      <c r="I296" s="87"/>
      <c r="J296" s="87"/>
      <c r="K296" s="87"/>
      <c r="L296" s="87"/>
      <c r="M296" s="87"/>
      <c r="N296" s="87"/>
      <c r="O296" s="87"/>
    </row>
    <row r="297" spans="7:15" s="96" customFormat="1" ht="13.8" x14ac:dyDescent="0.3">
      <c r="G297" s="87"/>
      <c r="H297" s="87"/>
      <c r="I297" s="87"/>
      <c r="J297" s="87"/>
      <c r="K297" s="87"/>
      <c r="L297" s="87"/>
      <c r="M297" s="87"/>
      <c r="N297" s="87"/>
      <c r="O297" s="87"/>
    </row>
    <row r="298" spans="7:15" s="96" customFormat="1" ht="13.8" x14ac:dyDescent="0.3">
      <c r="G298" s="87"/>
      <c r="H298" s="87"/>
      <c r="I298" s="87"/>
      <c r="J298" s="87"/>
      <c r="K298" s="87"/>
      <c r="L298" s="87"/>
      <c r="M298" s="87"/>
      <c r="N298" s="87"/>
      <c r="O298" s="87"/>
    </row>
    <row r="299" spans="7:15" s="96" customFormat="1" ht="13.8" x14ac:dyDescent="0.3">
      <c r="G299" s="87"/>
      <c r="H299" s="87"/>
      <c r="I299" s="87"/>
      <c r="J299" s="87"/>
      <c r="K299" s="87"/>
      <c r="L299" s="87"/>
      <c r="M299" s="87"/>
      <c r="N299" s="87"/>
      <c r="O299" s="87"/>
    </row>
    <row r="300" spans="7:15" s="96" customFormat="1" ht="13.8" x14ac:dyDescent="0.3">
      <c r="G300" s="87"/>
      <c r="H300" s="87"/>
      <c r="I300" s="87"/>
      <c r="J300" s="87"/>
      <c r="K300" s="87"/>
      <c r="L300" s="87"/>
      <c r="M300" s="87"/>
      <c r="N300" s="87"/>
      <c r="O300" s="87"/>
    </row>
    <row r="301" spans="7:15" s="96" customFormat="1" ht="13.8" x14ac:dyDescent="0.3">
      <c r="G301" s="87"/>
      <c r="H301" s="87"/>
      <c r="I301" s="87"/>
      <c r="J301" s="87"/>
      <c r="K301" s="87"/>
      <c r="L301" s="87"/>
      <c r="M301" s="87"/>
      <c r="N301" s="87"/>
      <c r="O301" s="87"/>
    </row>
    <row r="302" spans="7:15" s="96" customFormat="1" ht="13.8" x14ac:dyDescent="0.3">
      <c r="G302" s="87"/>
      <c r="H302" s="87"/>
      <c r="I302" s="87"/>
      <c r="J302" s="87"/>
      <c r="K302" s="87"/>
      <c r="L302" s="87"/>
      <c r="M302" s="87"/>
      <c r="N302" s="87"/>
      <c r="O302" s="87"/>
    </row>
    <row r="303" spans="7:15" s="96" customFormat="1" ht="13.8" x14ac:dyDescent="0.3">
      <c r="G303" s="87"/>
      <c r="H303" s="87"/>
      <c r="I303" s="87"/>
      <c r="J303" s="87"/>
      <c r="K303" s="87"/>
      <c r="L303" s="87"/>
      <c r="M303" s="87"/>
      <c r="N303" s="87"/>
      <c r="O303" s="87"/>
    </row>
    <row r="304" spans="7:15" s="96" customFormat="1" ht="13.8" x14ac:dyDescent="0.3">
      <c r="G304" s="87"/>
      <c r="H304" s="87"/>
      <c r="I304" s="87"/>
      <c r="J304" s="87"/>
      <c r="K304" s="87"/>
      <c r="L304" s="87"/>
      <c r="M304" s="87"/>
      <c r="N304" s="87"/>
      <c r="O304" s="87"/>
    </row>
    <row r="305" spans="7:15" s="96" customFormat="1" ht="13.8" x14ac:dyDescent="0.3">
      <c r="G305" s="87"/>
      <c r="H305" s="87"/>
      <c r="I305" s="87"/>
      <c r="J305" s="87"/>
      <c r="K305" s="87"/>
      <c r="L305" s="87"/>
      <c r="M305" s="87"/>
      <c r="N305" s="87"/>
      <c r="O305" s="87"/>
    </row>
    <row r="306" spans="7:15" s="96" customFormat="1" ht="13.8" x14ac:dyDescent="0.3">
      <c r="G306" s="87"/>
      <c r="H306" s="87"/>
      <c r="I306" s="87"/>
      <c r="J306" s="87"/>
      <c r="K306" s="87"/>
      <c r="L306" s="87"/>
      <c r="M306" s="87"/>
      <c r="N306" s="87"/>
      <c r="O306" s="87"/>
    </row>
    <row r="307" spans="7:15" s="96" customFormat="1" ht="13.8" x14ac:dyDescent="0.3">
      <c r="G307" s="87"/>
      <c r="H307" s="87"/>
      <c r="I307" s="87"/>
      <c r="J307" s="87"/>
      <c r="K307" s="87"/>
      <c r="L307" s="87"/>
      <c r="M307" s="87"/>
      <c r="N307" s="87"/>
      <c r="O307" s="87"/>
    </row>
    <row r="308" spans="7:15" s="96" customFormat="1" ht="13.8" x14ac:dyDescent="0.3">
      <c r="G308" s="87"/>
      <c r="H308" s="87"/>
      <c r="I308" s="87"/>
      <c r="J308" s="87"/>
      <c r="K308" s="87"/>
      <c r="L308" s="87"/>
      <c r="M308" s="87"/>
      <c r="N308" s="87"/>
      <c r="O308" s="87"/>
    </row>
    <row r="309" spans="7:15" s="96" customFormat="1" ht="13.8" x14ac:dyDescent="0.3">
      <c r="G309" s="87"/>
      <c r="H309" s="87"/>
      <c r="I309" s="87"/>
      <c r="J309" s="87"/>
      <c r="K309" s="87"/>
      <c r="L309" s="87"/>
      <c r="M309" s="87"/>
      <c r="N309" s="87"/>
      <c r="O309" s="87"/>
    </row>
    <row r="310" spans="7:15" s="96" customFormat="1" ht="13.8" x14ac:dyDescent="0.3">
      <c r="G310" s="87"/>
      <c r="H310" s="87"/>
      <c r="I310" s="87"/>
      <c r="J310" s="87"/>
      <c r="K310" s="87"/>
      <c r="L310" s="87"/>
      <c r="M310" s="87"/>
      <c r="N310" s="87"/>
      <c r="O310" s="87"/>
    </row>
    <row r="311" spans="7:15" s="96" customFormat="1" ht="13.8" x14ac:dyDescent="0.3">
      <c r="G311" s="87"/>
      <c r="H311" s="87"/>
      <c r="I311" s="87"/>
      <c r="J311" s="87"/>
      <c r="K311" s="87"/>
      <c r="L311" s="87"/>
      <c r="M311" s="87"/>
      <c r="N311" s="87"/>
      <c r="O311" s="87"/>
    </row>
    <row r="312" spans="7:15" s="96" customFormat="1" ht="13.8" x14ac:dyDescent="0.3">
      <c r="G312" s="87"/>
      <c r="H312" s="87"/>
      <c r="I312" s="87"/>
      <c r="J312" s="87"/>
      <c r="K312" s="87"/>
      <c r="L312" s="87"/>
      <c r="M312" s="87"/>
      <c r="N312" s="87"/>
      <c r="O312" s="87"/>
    </row>
    <row r="313" spans="7:15" s="96" customFormat="1" ht="13.8" x14ac:dyDescent="0.3">
      <c r="G313" s="87"/>
      <c r="H313" s="87"/>
      <c r="I313" s="87"/>
      <c r="J313" s="87"/>
      <c r="K313" s="87"/>
      <c r="L313" s="87"/>
      <c r="M313" s="87"/>
      <c r="N313" s="87"/>
      <c r="O313" s="87"/>
    </row>
    <row r="314" spans="7:15" s="96" customFormat="1" ht="13.8" x14ac:dyDescent="0.3">
      <c r="G314" s="87"/>
      <c r="H314" s="87"/>
      <c r="I314" s="87"/>
      <c r="J314" s="87"/>
      <c r="K314" s="87"/>
      <c r="L314" s="87"/>
      <c r="M314" s="87"/>
      <c r="N314" s="87"/>
      <c r="O314" s="87"/>
    </row>
    <row r="315" spans="7:15" s="96" customFormat="1" ht="13.8" x14ac:dyDescent="0.3">
      <c r="G315" s="87"/>
      <c r="H315" s="87"/>
      <c r="I315" s="87"/>
      <c r="J315" s="87"/>
      <c r="K315" s="87"/>
      <c r="L315" s="87"/>
      <c r="M315" s="87"/>
      <c r="N315" s="87"/>
      <c r="O315" s="87"/>
    </row>
    <row r="316" spans="7:15" s="96" customFormat="1" ht="13.8" x14ac:dyDescent="0.3">
      <c r="G316" s="87"/>
      <c r="H316" s="87"/>
      <c r="I316" s="87"/>
      <c r="J316" s="87"/>
      <c r="K316" s="87"/>
      <c r="L316" s="87"/>
      <c r="M316" s="87"/>
      <c r="N316" s="87"/>
      <c r="O316" s="87"/>
    </row>
    <row r="317" spans="7:15" s="96" customFormat="1" ht="13.8" x14ac:dyDescent="0.3">
      <c r="G317" s="87"/>
      <c r="H317" s="87"/>
      <c r="I317" s="87"/>
      <c r="J317" s="87"/>
      <c r="K317" s="87"/>
      <c r="L317" s="87"/>
      <c r="M317" s="87"/>
      <c r="N317" s="87"/>
      <c r="O317" s="87"/>
    </row>
    <row r="318" spans="7:15" s="96" customFormat="1" ht="13.8" x14ac:dyDescent="0.3">
      <c r="G318" s="87"/>
      <c r="H318" s="87"/>
      <c r="I318" s="87"/>
      <c r="J318" s="87"/>
      <c r="K318" s="87"/>
      <c r="L318" s="87"/>
      <c r="M318" s="87"/>
      <c r="N318" s="87"/>
      <c r="O318" s="87"/>
    </row>
    <row r="319" spans="7:15" s="96" customFormat="1" ht="13.8" x14ac:dyDescent="0.3">
      <c r="G319" s="87"/>
      <c r="H319" s="87"/>
      <c r="I319" s="87"/>
      <c r="J319" s="87"/>
      <c r="K319" s="87"/>
      <c r="L319" s="87"/>
      <c r="M319" s="87"/>
      <c r="N319" s="87"/>
      <c r="O319" s="87"/>
    </row>
    <row r="320" spans="7:15" s="96" customFormat="1" ht="13.8" x14ac:dyDescent="0.3">
      <c r="G320" s="87"/>
      <c r="H320" s="87"/>
      <c r="I320" s="87"/>
      <c r="J320" s="87"/>
      <c r="K320" s="87"/>
      <c r="L320" s="87"/>
      <c r="M320" s="87"/>
      <c r="N320" s="87"/>
      <c r="O320" s="87"/>
    </row>
    <row r="321" spans="7:15" s="96" customFormat="1" ht="13.8" x14ac:dyDescent="0.3">
      <c r="G321" s="87"/>
      <c r="H321" s="87"/>
      <c r="I321" s="87"/>
      <c r="J321" s="87"/>
      <c r="K321" s="87"/>
      <c r="L321" s="87"/>
      <c r="M321" s="87"/>
      <c r="N321" s="87"/>
      <c r="O321" s="87"/>
    </row>
    <row r="322" spans="7:15" s="96" customFormat="1" ht="13.8" x14ac:dyDescent="0.3">
      <c r="G322" s="87"/>
      <c r="H322" s="87"/>
      <c r="I322" s="87"/>
      <c r="J322" s="87"/>
      <c r="K322" s="87"/>
      <c r="L322" s="87"/>
      <c r="M322" s="87"/>
      <c r="N322" s="87"/>
      <c r="O322" s="87"/>
    </row>
    <row r="323" spans="7:15" s="96" customFormat="1" ht="13.8" x14ac:dyDescent="0.3">
      <c r="G323" s="87"/>
      <c r="H323" s="87"/>
      <c r="I323" s="87"/>
      <c r="J323" s="87"/>
      <c r="K323" s="87"/>
      <c r="L323" s="87"/>
      <c r="M323" s="87"/>
      <c r="N323" s="87"/>
      <c r="O323" s="87"/>
    </row>
    <row r="324" spans="7:15" s="96" customFormat="1" ht="13.8" x14ac:dyDescent="0.3">
      <c r="G324" s="87"/>
      <c r="H324" s="87"/>
      <c r="I324" s="87"/>
      <c r="J324" s="87"/>
      <c r="K324" s="87"/>
      <c r="L324" s="87"/>
      <c r="M324" s="87"/>
      <c r="N324" s="87"/>
      <c r="O324" s="87"/>
    </row>
    <row r="325" spans="7:15" s="96" customFormat="1" ht="13.8" x14ac:dyDescent="0.3">
      <c r="G325" s="87"/>
      <c r="H325" s="87"/>
      <c r="I325" s="87"/>
      <c r="J325" s="87"/>
      <c r="K325" s="87"/>
      <c r="L325" s="87"/>
      <c r="M325" s="87"/>
      <c r="N325" s="87"/>
      <c r="O325" s="87"/>
    </row>
    <row r="326" spans="7:15" s="96" customFormat="1" ht="13.8" x14ac:dyDescent="0.3">
      <c r="G326" s="87"/>
      <c r="H326" s="87"/>
      <c r="I326" s="87"/>
      <c r="J326" s="87"/>
      <c r="K326" s="87"/>
      <c r="L326" s="87"/>
      <c r="M326" s="87"/>
      <c r="N326" s="87"/>
      <c r="O326" s="87"/>
    </row>
    <row r="327" spans="7:15" s="96" customFormat="1" ht="13.8" x14ac:dyDescent="0.3">
      <c r="G327" s="87"/>
      <c r="H327" s="87"/>
      <c r="I327" s="87"/>
      <c r="J327" s="87"/>
      <c r="K327" s="87"/>
      <c r="L327" s="87"/>
      <c r="M327" s="87"/>
      <c r="N327" s="87"/>
      <c r="O327" s="87"/>
    </row>
    <row r="328" spans="7:15" s="96" customFormat="1" ht="13.8" x14ac:dyDescent="0.3">
      <c r="G328" s="87"/>
      <c r="H328" s="87"/>
      <c r="I328" s="87"/>
      <c r="J328" s="87"/>
      <c r="K328" s="87"/>
      <c r="L328" s="87"/>
      <c r="M328" s="87"/>
      <c r="N328" s="87"/>
      <c r="O328" s="87"/>
    </row>
    <row r="329" spans="7:15" s="96" customFormat="1" ht="13.8" x14ac:dyDescent="0.3">
      <c r="G329" s="87"/>
      <c r="H329" s="87"/>
      <c r="I329" s="87"/>
      <c r="J329" s="87"/>
      <c r="K329" s="87"/>
      <c r="L329" s="87"/>
      <c r="M329" s="87"/>
      <c r="N329" s="87"/>
      <c r="O329" s="87"/>
    </row>
    <row r="330" spans="7:15" s="96" customFormat="1" ht="13.8" x14ac:dyDescent="0.3">
      <c r="G330" s="87"/>
      <c r="H330" s="87"/>
      <c r="I330" s="87"/>
      <c r="J330" s="87"/>
      <c r="K330" s="87"/>
      <c r="L330" s="87"/>
      <c r="M330" s="87"/>
      <c r="N330" s="87"/>
      <c r="O330" s="87"/>
    </row>
    <row r="331" spans="7:15" s="96" customFormat="1" ht="13.8" x14ac:dyDescent="0.3">
      <c r="G331" s="87"/>
      <c r="H331" s="87"/>
      <c r="I331" s="87"/>
      <c r="J331" s="87"/>
      <c r="K331" s="87"/>
      <c r="L331" s="87"/>
      <c r="M331" s="87"/>
      <c r="N331" s="87"/>
      <c r="O331" s="87"/>
    </row>
    <row r="332" spans="7:15" s="96" customFormat="1" ht="13.8" x14ac:dyDescent="0.3">
      <c r="G332" s="87"/>
      <c r="H332" s="87"/>
      <c r="I332" s="87"/>
      <c r="J332" s="87"/>
      <c r="K332" s="87"/>
      <c r="L332" s="87"/>
      <c r="M332" s="87"/>
      <c r="N332" s="87"/>
      <c r="O332" s="87"/>
    </row>
    <row r="333" spans="7:15" s="96" customFormat="1" ht="13.8" x14ac:dyDescent="0.3">
      <c r="G333" s="87"/>
      <c r="H333" s="87"/>
      <c r="I333" s="87"/>
      <c r="J333" s="87"/>
      <c r="K333" s="87"/>
      <c r="L333" s="87"/>
      <c r="M333" s="87"/>
      <c r="N333" s="87"/>
      <c r="O333" s="87"/>
    </row>
    <row r="334" spans="7:15" s="96" customFormat="1" ht="13.8" x14ac:dyDescent="0.3">
      <c r="G334" s="87"/>
      <c r="H334" s="87"/>
      <c r="I334" s="87"/>
      <c r="J334" s="87"/>
      <c r="K334" s="87"/>
      <c r="L334" s="87"/>
      <c r="M334" s="87"/>
      <c r="N334" s="87"/>
      <c r="O334" s="87"/>
    </row>
    <row r="335" spans="7:15" s="96" customFormat="1" ht="13.8" x14ac:dyDescent="0.3">
      <c r="G335" s="87"/>
      <c r="H335" s="87"/>
      <c r="I335" s="87"/>
      <c r="J335" s="87"/>
      <c r="K335" s="87"/>
      <c r="L335" s="87"/>
      <c r="M335" s="87"/>
      <c r="N335" s="87"/>
      <c r="O335" s="87"/>
    </row>
    <row r="336" spans="7:15" s="96" customFormat="1" ht="13.8" x14ac:dyDescent="0.3">
      <c r="G336" s="87"/>
      <c r="H336" s="87"/>
      <c r="I336" s="87"/>
      <c r="J336" s="87"/>
      <c r="K336" s="87"/>
      <c r="L336" s="87"/>
      <c r="M336" s="87"/>
      <c r="N336" s="87"/>
      <c r="O336" s="87"/>
    </row>
    <row r="337" spans="7:15" s="96" customFormat="1" ht="13.8" x14ac:dyDescent="0.3">
      <c r="G337" s="87"/>
      <c r="H337" s="87"/>
      <c r="I337" s="87"/>
      <c r="J337" s="87"/>
      <c r="K337" s="87"/>
      <c r="L337" s="87"/>
      <c r="M337" s="87"/>
      <c r="N337" s="87"/>
      <c r="O337" s="87"/>
    </row>
    <row r="338" spans="7:15" s="96" customFormat="1" ht="13.8" x14ac:dyDescent="0.3">
      <c r="G338" s="87"/>
      <c r="H338" s="87"/>
      <c r="I338" s="87"/>
      <c r="J338" s="87"/>
      <c r="K338" s="87"/>
      <c r="L338" s="87"/>
      <c r="M338" s="87"/>
      <c r="N338" s="87"/>
      <c r="O338" s="87"/>
    </row>
    <row r="339" spans="7:15" s="96" customFormat="1" ht="13.8" x14ac:dyDescent="0.3">
      <c r="G339" s="87"/>
      <c r="H339" s="87"/>
      <c r="I339" s="87"/>
      <c r="J339" s="87"/>
      <c r="K339" s="87"/>
      <c r="L339" s="87"/>
      <c r="M339" s="87"/>
      <c r="N339" s="87"/>
      <c r="O339" s="87"/>
    </row>
    <row r="340" spans="7:15" s="96" customFormat="1" ht="13.8" x14ac:dyDescent="0.3">
      <c r="G340" s="87"/>
      <c r="H340" s="87"/>
      <c r="I340" s="87"/>
      <c r="J340" s="87"/>
      <c r="K340" s="87"/>
      <c r="L340" s="87"/>
      <c r="M340" s="87"/>
      <c r="N340" s="87"/>
      <c r="O340" s="87"/>
    </row>
    <row r="341" spans="7:15" s="96" customFormat="1" ht="13.8" x14ac:dyDescent="0.3">
      <c r="G341" s="87"/>
      <c r="H341" s="87"/>
      <c r="I341" s="87"/>
      <c r="J341" s="87"/>
      <c r="K341" s="87"/>
      <c r="L341" s="87"/>
      <c r="M341" s="87"/>
      <c r="N341" s="87"/>
      <c r="O341" s="87"/>
    </row>
    <row r="342" spans="7:15" s="96" customFormat="1" ht="13.8" x14ac:dyDescent="0.3">
      <c r="G342" s="87"/>
      <c r="H342" s="87"/>
      <c r="I342" s="87"/>
      <c r="J342" s="87"/>
      <c r="K342" s="87"/>
      <c r="L342" s="87"/>
      <c r="M342" s="87"/>
      <c r="N342" s="87"/>
      <c r="O342" s="87"/>
    </row>
    <row r="343" spans="7:15" s="96" customFormat="1" ht="13.8" x14ac:dyDescent="0.3">
      <c r="G343" s="87"/>
      <c r="H343" s="87"/>
      <c r="I343" s="87"/>
      <c r="J343" s="87"/>
      <c r="K343" s="87"/>
      <c r="L343" s="87"/>
      <c r="M343" s="87"/>
      <c r="N343" s="87"/>
      <c r="O343" s="87"/>
    </row>
    <row r="344" spans="7:15" s="96" customFormat="1" ht="13.8" x14ac:dyDescent="0.3">
      <c r="G344" s="87"/>
      <c r="H344" s="87"/>
      <c r="I344" s="87"/>
      <c r="J344" s="87"/>
      <c r="K344" s="87"/>
      <c r="L344" s="87"/>
      <c r="M344" s="87"/>
      <c r="N344" s="87"/>
      <c r="O344" s="87"/>
    </row>
    <row r="345" spans="7:15" s="96" customFormat="1" ht="13.8" x14ac:dyDescent="0.3">
      <c r="G345" s="87"/>
      <c r="H345" s="87"/>
      <c r="I345" s="87"/>
      <c r="J345" s="87"/>
      <c r="K345" s="87"/>
      <c r="L345" s="87"/>
      <c r="M345" s="87"/>
      <c r="N345" s="87"/>
      <c r="O345" s="87"/>
    </row>
    <row r="346" spans="7:15" s="96" customFormat="1" ht="13.8" x14ac:dyDescent="0.3">
      <c r="G346" s="87"/>
      <c r="H346" s="87"/>
      <c r="I346" s="87"/>
      <c r="J346" s="87"/>
      <c r="K346" s="87"/>
      <c r="L346" s="87"/>
      <c r="M346" s="87"/>
      <c r="N346" s="87"/>
      <c r="O346" s="87"/>
    </row>
    <row r="347" spans="7:15" s="96" customFormat="1" ht="13.8" x14ac:dyDescent="0.3">
      <c r="G347" s="87"/>
      <c r="H347" s="87"/>
      <c r="I347" s="87"/>
      <c r="J347" s="87"/>
      <c r="K347" s="87"/>
      <c r="L347" s="87"/>
      <c r="M347" s="87"/>
      <c r="N347" s="87"/>
      <c r="O347" s="87"/>
    </row>
    <row r="348" spans="7:15" s="96" customFormat="1" ht="13.8" x14ac:dyDescent="0.3">
      <c r="G348" s="87"/>
      <c r="H348" s="87"/>
      <c r="I348" s="87"/>
      <c r="J348" s="87"/>
      <c r="K348" s="87"/>
      <c r="L348" s="87"/>
      <c r="M348" s="87"/>
      <c r="N348" s="87"/>
      <c r="O348" s="87"/>
    </row>
    <row r="349" spans="7:15" s="96" customFormat="1" ht="13.8" x14ac:dyDescent="0.3">
      <c r="G349" s="87"/>
      <c r="H349" s="87"/>
      <c r="I349" s="87"/>
      <c r="J349" s="87"/>
      <c r="K349" s="87"/>
      <c r="L349" s="87"/>
      <c r="M349" s="87"/>
      <c r="N349" s="87"/>
      <c r="O349" s="87"/>
    </row>
    <row r="350" spans="7:15" s="96" customFormat="1" ht="13.8" x14ac:dyDescent="0.3">
      <c r="G350" s="87"/>
      <c r="H350" s="87"/>
      <c r="I350" s="87"/>
      <c r="J350" s="87"/>
      <c r="K350" s="87"/>
      <c r="L350" s="87"/>
      <c r="M350" s="87"/>
      <c r="N350" s="87"/>
      <c r="O350" s="87"/>
    </row>
    <row r="351" spans="7:15" s="96" customFormat="1" ht="13.8" x14ac:dyDescent="0.3">
      <c r="G351" s="87"/>
      <c r="H351" s="87"/>
      <c r="I351" s="87"/>
      <c r="J351" s="87"/>
      <c r="K351" s="87"/>
      <c r="L351" s="87"/>
      <c r="M351" s="87"/>
      <c r="N351" s="87"/>
      <c r="O351" s="87"/>
    </row>
    <row r="352" spans="7:15" s="96" customFormat="1" ht="13.8" x14ac:dyDescent="0.3">
      <c r="G352" s="87"/>
      <c r="H352" s="87"/>
      <c r="I352" s="87"/>
      <c r="J352" s="87"/>
      <c r="K352" s="87"/>
      <c r="L352" s="87"/>
      <c r="M352" s="87"/>
      <c r="N352" s="87"/>
      <c r="O352" s="87"/>
    </row>
    <row r="353" spans="7:15" s="96" customFormat="1" ht="13.8" x14ac:dyDescent="0.3">
      <c r="G353" s="87"/>
      <c r="H353" s="87"/>
      <c r="I353" s="87"/>
      <c r="J353" s="87"/>
      <c r="K353" s="87"/>
      <c r="L353" s="87"/>
      <c r="M353" s="87"/>
      <c r="N353" s="87"/>
      <c r="O353" s="87"/>
    </row>
    <row r="354" spans="7:15" s="96" customFormat="1" ht="13.8" x14ac:dyDescent="0.3">
      <c r="G354" s="87"/>
      <c r="H354" s="87"/>
      <c r="I354" s="87"/>
      <c r="J354" s="87"/>
      <c r="K354" s="87"/>
      <c r="L354" s="87"/>
      <c r="M354" s="87"/>
      <c r="N354" s="87"/>
      <c r="O354" s="87"/>
    </row>
    <row r="355" spans="7:15" s="96" customFormat="1" ht="13.8" x14ac:dyDescent="0.3">
      <c r="G355" s="87"/>
      <c r="H355" s="87"/>
      <c r="I355" s="87"/>
      <c r="J355" s="87"/>
      <c r="K355" s="87"/>
      <c r="L355" s="87"/>
      <c r="M355" s="87"/>
      <c r="N355" s="87"/>
      <c r="O355" s="87"/>
    </row>
    <row r="356" spans="7:15" s="96" customFormat="1" ht="13.8" x14ac:dyDescent="0.3">
      <c r="G356" s="87"/>
      <c r="H356" s="87"/>
      <c r="I356" s="87"/>
      <c r="J356" s="87"/>
      <c r="K356" s="87"/>
      <c r="L356" s="87"/>
      <c r="M356" s="87"/>
      <c r="N356" s="87"/>
      <c r="O356" s="87"/>
    </row>
    <row r="357" spans="7:15" s="96" customFormat="1" ht="13.8" x14ac:dyDescent="0.3">
      <c r="G357" s="87"/>
      <c r="H357" s="87"/>
      <c r="I357" s="87"/>
      <c r="J357" s="87"/>
      <c r="K357" s="87"/>
      <c r="L357" s="87"/>
      <c r="M357" s="87"/>
      <c r="N357" s="87"/>
      <c r="O357" s="87"/>
    </row>
    <row r="358" spans="7:15" s="96" customFormat="1" ht="13.8" x14ac:dyDescent="0.3">
      <c r="G358" s="87"/>
      <c r="H358" s="87"/>
      <c r="I358" s="87"/>
      <c r="J358" s="87"/>
      <c r="K358" s="87"/>
      <c r="L358" s="87"/>
      <c r="M358" s="87"/>
      <c r="N358" s="87"/>
      <c r="O358" s="87"/>
    </row>
    <row r="359" spans="7:15" s="96" customFormat="1" ht="13.8" x14ac:dyDescent="0.3">
      <c r="G359" s="87"/>
      <c r="H359" s="87"/>
      <c r="I359" s="87"/>
      <c r="J359" s="87"/>
      <c r="K359" s="87"/>
      <c r="L359" s="87"/>
      <c r="M359" s="87"/>
      <c r="N359" s="87"/>
      <c r="O359" s="87"/>
    </row>
    <row r="360" spans="7:15" s="96" customFormat="1" ht="13.8" x14ac:dyDescent="0.3">
      <c r="G360" s="87"/>
      <c r="H360" s="87"/>
      <c r="I360" s="87"/>
      <c r="J360" s="87"/>
      <c r="K360" s="87"/>
      <c r="L360" s="87"/>
      <c r="M360" s="87"/>
      <c r="N360" s="87"/>
      <c r="O360" s="87"/>
    </row>
    <row r="361" spans="7:15" s="96" customFormat="1" ht="13.8" x14ac:dyDescent="0.3">
      <c r="G361" s="87"/>
      <c r="H361" s="87"/>
      <c r="I361" s="87"/>
      <c r="J361" s="87"/>
      <c r="K361" s="87"/>
      <c r="L361" s="87"/>
      <c r="M361" s="87"/>
      <c r="N361" s="87"/>
      <c r="O361" s="87"/>
    </row>
    <row r="362" spans="7:15" s="96" customFormat="1" ht="13.8" x14ac:dyDescent="0.3">
      <c r="G362" s="87"/>
      <c r="H362" s="87"/>
      <c r="I362" s="87"/>
      <c r="J362" s="87"/>
      <c r="K362" s="87"/>
      <c r="L362" s="87"/>
      <c r="M362" s="87"/>
      <c r="N362" s="87"/>
      <c r="O362" s="87"/>
    </row>
    <row r="363" spans="7:15" s="96" customFormat="1" ht="13.8" x14ac:dyDescent="0.3">
      <c r="G363" s="87"/>
      <c r="H363" s="87"/>
      <c r="I363" s="87"/>
      <c r="J363" s="87"/>
      <c r="K363" s="87"/>
      <c r="L363" s="87"/>
      <c r="M363" s="87"/>
      <c r="N363" s="87"/>
      <c r="O363" s="87"/>
    </row>
    <row r="364" spans="7:15" s="96" customFormat="1" ht="13.8" x14ac:dyDescent="0.3">
      <c r="G364" s="87"/>
      <c r="H364" s="87"/>
      <c r="I364" s="87"/>
      <c r="J364" s="87"/>
      <c r="K364" s="87"/>
      <c r="L364" s="87"/>
      <c r="M364" s="87"/>
      <c r="N364" s="87"/>
      <c r="O364" s="87"/>
    </row>
    <row r="365" spans="7:15" s="96" customFormat="1" ht="13.8" x14ac:dyDescent="0.3">
      <c r="G365" s="87"/>
      <c r="H365" s="87"/>
      <c r="I365" s="87"/>
      <c r="J365" s="87"/>
      <c r="K365" s="87"/>
      <c r="L365" s="87"/>
      <c r="M365" s="87"/>
      <c r="N365" s="87"/>
      <c r="O365" s="87"/>
    </row>
    <row r="366" spans="7:15" s="96" customFormat="1" ht="13.8" x14ac:dyDescent="0.3">
      <c r="G366" s="87"/>
      <c r="H366" s="87"/>
      <c r="I366" s="87"/>
      <c r="J366" s="87"/>
      <c r="K366" s="87"/>
      <c r="L366" s="87"/>
      <c r="M366" s="87"/>
      <c r="N366" s="87"/>
      <c r="O366" s="87"/>
    </row>
    <row r="367" spans="7:15" s="96" customFormat="1" ht="13.8" x14ac:dyDescent="0.3">
      <c r="G367" s="87"/>
      <c r="H367" s="87"/>
      <c r="I367" s="87"/>
      <c r="J367" s="87"/>
      <c r="K367" s="87"/>
      <c r="L367" s="87"/>
      <c r="M367" s="87"/>
      <c r="N367" s="87"/>
      <c r="O367" s="87"/>
    </row>
    <row r="368" spans="7:15" s="96" customFormat="1" ht="13.8" x14ac:dyDescent="0.3">
      <c r="G368" s="87"/>
      <c r="H368" s="87"/>
      <c r="I368" s="87"/>
      <c r="J368" s="87"/>
      <c r="K368" s="87"/>
      <c r="L368" s="87"/>
      <c r="M368" s="87"/>
      <c r="N368" s="87"/>
      <c r="O368" s="87"/>
    </row>
    <row r="369" spans="7:15" s="96" customFormat="1" ht="13.8" x14ac:dyDescent="0.3">
      <c r="G369" s="87"/>
      <c r="H369" s="87"/>
      <c r="I369" s="87"/>
      <c r="J369" s="87"/>
      <c r="K369" s="87"/>
      <c r="L369" s="87"/>
      <c r="M369" s="87"/>
      <c r="N369" s="87"/>
      <c r="O369" s="87"/>
    </row>
    <row r="370" spans="7:15" s="96" customFormat="1" ht="13.8" x14ac:dyDescent="0.3">
      <c r="G370" s="87"/>
      <c r="H370" s="87"/>
      <c r="I370" s="87"/>
      <c r="J370" s="87"/>
      <c r="K370" s="87"/>
      <c r="L370" s="87"/>
      <c r="M370" s="87"/>
      <c r="N370" s="87"/>
      <c r="O370" s="87"/>
    </row>
    <row r="371" spans="7:15" s="96" customFormat="1" ht="13.8" x14ac:dyDescent="0.3">
      <c r="G371" s="87"/>
      <c r="H371" s="87"/>
      <c r="I371" s="87"/>
      <c r="J371" s="87"/>
      <c r="K371" s="87"/>
      <c r="L371" s="87"/>
      <c r="M371" s="87"/>
      <c r="N371" s="87"/>
      <c r="O371" s="87"/>
    </row>
    <row r="372" spans="7:15" s="96" customFormat="1" ht="13.8" x14ac:dyDescent="0.3">
      <c r="G372" s="87"/>
      <c r="H372" s="87"/>
      <c r="I372" s="87"/>
      <c r="J372" s="87"/>
      <c r="K372" s="87"/>
      <c r="L372" s="87"/>
      <c r="M372" s="87"/>
      <c r="N372" s="87"/>
      <c r="O372" s="87"/>
    </row>
    <row r="373" spans="7:15" s="96" customFormat="1" ht="13.8" x14ac:dyDescent="0.3">
      <c r="G373" s="87"/>
      <c r="H373" s="87"/>
      <c r="I373" s="87"/>
      <c r="J373" s="87"/>
      <c r="K373" s="87"/>
      <c r="L373" s="87"/>
      <c r="M373" s="87"/>
      <c r="N373" s="87"/>
      <c r="O373" s="87"/>
    </row>
    <row r="374" spans="7:15" s="96" customFormat="1" ht="13.8" x14ac:dyDescent="0.3">
      <c r="G374" s="87"/>
      <c r="H374" s="87"/>
      <c r="I374" s="87"/>
      <c r="J374" s="87"/>
      <c r="K374" s="87"/>
      <c r="L374" s="87"/>
      <c r="M374" s="87"/>
      <c r="N374" s="87"/>
      <c r="O374" s="87"/>
    </row>
    <row r="375" spans="7:15" s="96" customFormat="1" ht="13.8" x14ac:dyDescent="0.3">
      <c r="G375" s="87"/>
      <c r="H375" s="87"/>
      <c r="I375" s="87"/>
      <c r="J375" s="87"/>
      <c r="K375" s="87"/>
      <c r="L375" s="87"/>
      <c r="M375" s="87"/>
      <c r="N375" s="87"/>
      <c r="O375" s="87"/>
    </row>
    <row r="376" spans="7:15" s="96" customFormat="1" ht="13.8" x14ac:dyDescent="0.3">
      <c r="G376" s="87"/>
      <c r="H376" s="87"/>
      <c r="I376" s="87"/>
      <c r="J376" s="87"/>
      <c r="K376" s="87"/>
      <c r="L376" s="87"/>
      <c r="M376" s="87"/>
      <c r="N376" s="87"/>
      <c r="O376" s="87"/>
    </row>
    <row r="377" spans="7:15" s="96" customFormat="1" ht="13.8" x14ac:dyDescent="0.3">
      <c r="G377" s="87"/>
      <c r="H377" s="87"/>
      <c r="I377" s="87"/>
      <c r="J377" s="87"/>
      <c r="K377" s="87"/>
      <c r="L377" s="87"/>
      <c r="M377" s="87"/>
      <c r="N377" s="87"/>
      <c r="O377" s="87"/>
    </row>
    <row r="378" spans="7:15" s="96" customFormat="1" ht="13.8" x14ac:dyDescent="0.3">
      <c r="G378" s="87"/>
      <c r="H378" s="87"/>
      <c r="I378" s="87"/>
      <c r="J378" s="87"/>
      <c r="K378" s="87"/>
      <c r="L378" s="87"/>
      <c r="M378" s="87"/>
      <c r="N378" s="87"/>
      <c r="O378" s="87"/>
    </row>
    <row r="379" spans="7:15" s="96" customFormat="1" ht="13.8" x14ac:dyDescent="0.3">
      <c r="G379" s="87"/>
      <c r="H379" s="87"/>
      <c r="I379" s="87"/>
      <c r="J379" s="87"/>
      <c r="K379" s="87"/>
      <c r="L379" s="87"/>
      <c r="M379" s="87"/>
      <c r="N379" s="87"/>
      <c r="O379" s="87"/>
    </row>
    <row r="380" spans="7:15" s="96" customFormat="1" ht="13.8" x14ac:dyDescent="0.3">
      <c r="G380" s="87"/>
      <c r="H380" s="87"/>
      <c r="I380" s="87"/>
      <c r="J380" s="87"/>
      <c r="K380" s="87"/>
      <c r="L380" s="87"/>
      <c r="M380" s="87"/>
      <c r="N380" s="87"/>
      <c r="O380" s="87"/>
    </row>
    <row r="381" spans="7:15" s="96" customFormat="1" ht="13.8" x14ac:dyDescent="0.3">
      <c r="G381" s="87"/>
      <c r="H381" s="87"/>
      <c r="I381" s="87"/>
      <c r="J381" s="87"/>
      <c r="K381" s="87"/>
      <c r="L381" s="87"/>
      <c r="M381" s="87"/>
      <c r="N381" s="87"/>
      <c r="O381" s="87"/>
    </row>
    <row r="382" spans="7:15" s="96" customFormat="1" ht="13.8" x14ac:dyDescent="0.3">
      <c r="G382" s="87"/>
      <c r="H382" s="87"/>
      <c r="I382" s="87"/>
      <c r="J382" s="87"/>
      <c r="K382" s="87"/>
      <c r="L382" s="87"/>
      <c r="M382" s="87"/>
      <c r="N382" s="87"/>
      <c r="O382" s="87"/>
    </row>
    <row r="383" spans="7:15" s="96" customFormat="1" ht="13.8" x14ac:dyDescent="0.3">
      <c r="G383" s="87"/>
      <c r="H383" s="87"/>
      <c r="I383" s="87"/>
      <c r="J383" s="87"/>
      <c r="K383" s="87"/>
      <c r="L383" s="87"/>
      <c r="M383" s="87"/>
      <c r="N383" s="87"/>
      <c r="O383" s="87"/>
    </row>
    <row r="384" spans="7:15" s="96" customFormat="1" ht="13.8" x14ac:dyDescent="0.3">
      <c r="G384" s="87"/>
      <c r="H384" s="87"/>
      <c r="I384" s="87"/>
      <c r="J384" s="87"/>
      <c r="K384" s="87"/>
      <c r="L384" s="87"/>
      <c r="M384" s="87"/>
      <c r="N384" s="87"/>
      <c r="O384" s="87"/>
    </row>
    <row r="385" spans="7:15" s="96" customFormat="1" ht="13.8" x14ac:dyDescent="0.3">
      <c r="G385" s="87"/>
      <c r="H385" s="87"/>
      <c r="I385" s="87"/>
      <c r="J385" s="87"/>
      <c r="K385" s="87"/>
      <c r="L385" s="87"/>
      <c r="M385" s="87"/>
      <c r="N385" s="87"/>
      <c r="O385" s="87"/>
    </row>
    <row r="386" spans="7:15" s="96" customFormat="1" ht="13.8" x14ac:dyDescent="0.3">
      <c r="G386" s="87"/>
      <c r="H386" s="87"/>
      <c r="I386" s="87"/>
      <c r="J386" s="87"/>
      <c r="K386" s="87"/>
      <c r="L386" s="87"/>
      <c r="M386" s="87"/>
      <c r="N386" s="87"/>
      <c r="O386" s="87"/>
    </row>
    <row r="387" spans="7:15" s="96" customFormat="1" ht="13.8" x14ac:dyDescent="0.3">
      <c r="G387" s="87"/>
      <c r="H387" s="87"/>
      <c r="I387" s="87"/>
      <c r="J387" s="87"/>
      <c r="K387" s="87"/>
      <c r="L387" s="87"/>
      <c r="M387" s="87"/>
      <c r="N387" s="87"/>
      <c r="O387" s="87"/>
    </row>
    <row r="388" spans="7:15" s="96" customFormat="1" ht="13.8" x14ac:dyDescent="0.3">
      <c r="G388" s="87"/>
      <c r="H388" s="87"/>
      <c r="I388" s="87"/>
      <c r="J388" s="87"/>
      <c r="K388" s="87"/>
      <c r="L388" s="87"/>
      <c r="M388" s="87"/>
      <c r="N388" s="87"/>
      <c r="O388" s="87"/>
    </row>
    <row r="389" spans="7:15" s="96" customFormat="1" ht="13.8" x14ac:dyDescent="0.3">
      <c r="G389" s="87"/>
      <c r="H389" s="87"/>
      <c r="I389" s="87"/>
      <c r="J389" s="87"/>
      <c r="K389" s="87"/>
      <c r="L389" s="87"/>
      <c r="M389" s="87"/>
      <c r="N389" s="87"/>
      <c r="O389" s="87"/>
    </row>
    <row r="390" spans="7:15" s="96" customFormat="1" ht="13.8" x14ac:dyDescent="0.3">
      <c r="G390" s="87"/>
      <c r="H390" s="87"/>
      <c r="I390" s="87"/>
      <c r="J390" s="87"/>
      <c r="K390" s="87"/>
      <c r="L390" s="87"/>
      <c r="M390" s="87"/>
      <c r="N390" s="87"/>
      <c r="O390" s="87"/>
    </row>
    <row r="391" spans="7:15" s="96" customFormat="1" ht="13.8" x14ac:dyDescent="0.3">
      <c r="G391" s="87"/>
      <c r="H391" s="87"/>
      <c r="I391" s="87"/>
      <c r="J391" s="87"/>
      <c r="K391" s="87"/>
      <c r="L391" s="87"/>
      <c r="M391" s="87"/>
      <c r="N391" s="87"/>
      <c r="O391" s="87"/>
    </row>
    <row r="392" spans="7:15" s="96" customFormat="1" ht="13.8" x14ac:dyDescent="0.3">
      <c r="G392" s="87"/>
      <c r="H392" s="87"/>
      <c r="I392" s="87"/>
      <c r="J392" s="87"/>
      <c r="K392" s="87"/>
      <c r="L392" s="87"/>
      <c r="M392" s="87"/>
      <c r="N392" s="87"/>
      <c r="O392" s="87"/>
    </row>
    <row r="393" spans="7:15" s="96" customFormat="1" ht="13.8" x14ac:dyDescent="0.3">
      <c r="G393" s="87"/>
      <c r="H393" s="87"/>
      <c r="I393" s="87"/>
      <c r="J393" s="87"/>
      <c r="K393" s="87"/>
      <c r="L393" s="87"/>
      <c r="M393" s="87"/>
      <c r="N393" s="87"/>
      <c r="O393" s="87"/>
    </row>
    <row r="394" spans="7:15" s="96" customFormat="1" ht="13.8" x14ac:dyDescent="0.3">
      <c r="G394" s="87"/>
      <c r="H394" s="87"/>
      <c r="I394" s="87"/>
      <c r="J394" s="87"/>
      <c r="K394" s="87"/>
      <c r="L394" s="87"/>
      <c r="M394" s="87"/>
      <c r="N394" s="87"/>
      <c r="O394" s="87"/>
    </row>
    <row r="395" spans="7:15" s="96" customFormat="1" ht="13.8" x14ac:dyDescent="0.3">
      <c r="G395" s="87"/>
      <c r="H395" s="87"/>
      <c r="I395" s="87"/>
      <c r="J395" s="87"/>
      <c r="K395" s="87"/>
      <c r="L395" s="87"/>
      <c r="M395" s="87"/>
      <c r="N395" s="87"/>
      <c r="O395" s="87"/>
    </row>
    <row r="396" spans="7:15" s="96" customFormat="1" ht="13.8" x14ac:dyDescent="0.3">
      <c r="G396" s="87"/>
      <c r="H396" s="87"/>
      <c r="I396" s="87"/>
      <c r="J396" s="87"/>
      <c r="K396" s="87"/>
      <c r="L396" s="87"/>
      <c r="M396" s="87"/>
      <c r="N396" s="87"/>
      <c r="O396" s="87"/>
    </row>
    <row r="397" spans="7:15" s="96" customFormat="1" ht="13.8" x14ac:dyDescent="0.3">
      <c r="G397" s="87"/>
      <c r="H397" s="87"/>
      <c r="I397" s="87"/>
      <c r="J397" s="87"/>
      <c r="K397" s="87"/>
      <c r="L397" s="87"/>
      <c r="M397" s="87"/>
      <c r="N397" s="87"/>
      <c r="O397" s="87"/>
    </row>
    <row r="398" spans="7:15" s="96" customFormat="1" ht="13.8" x14ac:dyDescent="0.3">
      <c r="G398" s="87"/>
      <c r="H398" s="87"/>
      <c r="I398" s="87"/>
      <c r="J398" s="87"/>
      <c r="K398" s="87"/>
      <c r="L398" s="87"/>
      <c r="M398" s="87"/>
      <c r="N398" s="87"/>
      <c r="O398" s="87"/>
    </row>
    <row r="399" spans="7:15" s="96" customFormat="1" ht="13.8" x14ac:dyDescent="0.3">
      <c r="G399" s="87"/>
      <c r="H399" s="87"/>
      <c r="I399" s="87"/>
      <c r="J399" s="87"/>
      <c r="K399" s="87"/>
      <c r="L399" s="87"/>
      <c r="M399" s="87"/>
      <c r="N399" s="87"/>
      <c r="O399" s="87"/>
    </row>
    <row r="400" spans="7:15" s="96" customFormat="1" ht="13.8" x14ac:dyDescent="0.3">
      <c r="G400" s="87"/>
      <c r="H400" s="87"/>
      <c r="I400" s="87"/>
      <c r="J400" s="87"/>
      <c r="K400" s="87"/>
      <c r="L400" s="87"/>
      <c r="M400" s="87"/>
      <c r="N400" s="87"/>
      <c r="O400" s="87"/>
    </row>
    <row r="401" spans="7:15" s="96" customFormat="1" ht="13.8" x14ac:dyDescent="0.3">
      <c r="G401" s="87"/>
      <c r="H401" s="87"/>
      <c r="I401" s="87"/>
      <c r="J401" s="87"/>
      <c r="K401" s="87"/>
      <c r="L401" s="87"/>
      <c r="M401" s="87"/>
      <c r="N401" s="87"/>
      <c r="O401" s="87"/>
    </row>
    <row r="402" spans="7:15" s="96" customFormat="1" ht="13.8" x14ac:dyDescent="0.3">
      <c r="G402" s="87"/>
      <c r="H402" s="87"/>
      <c r="I402" s="87"/>
      <c r="J402" s="87"/>
      <c r="K402" s="87"/>
      <c r="L402" s="87"/>
      <c r="M402" s="87"/>
      <c r="N402" s="87"/>
      <c r="O402" s="87"/>
    </row>
    <row r="403" spans="7:15" s="96" customFormat="1" ht="13.8" x14ac:dyDescent="0.3">
      <c r="G403" s="87"/>
      <c r="H403" s="87"/>
      <c r="I403" s="87"/>
      <c r="J403" s="87"/>
      <c r="K403" s="87"/>
      <c r="L403" s="87"/>
      <c r="M403" s="87"/>
      <c r="N403" s="87"/>
      <c r="O403" s="87"/>
    </row>
    <row r="404" spans="7:15" s="96" customFormat="1" ht="13.8" x14ac:dyDescent="0.3">
      <c r="G404" s="87"/>
      <c r="H404" s="87"/>
      <c r="I404" s="87"/>
      <c r="J404" s="87"/>
      <c r="K404" s="87"/>
      <c r="L404" s="87"/>
      <c r="M404" s="87"/>
      <c r="N404" s="87"/>
      <c r="O404" s="87"/>
    </row>
    <row r="405" spans="7:15" s="96" customFormat="1" ht="13.8" x14ac:dyDescent="0.3">
      <c r="G405" s="87"/>
      <c r="H405" s="87"/>
      <c r="I405" s="87"/>
      <c r="J405" s="87"/>
      <c r="K405" s="87"/>
      <c r="L405" s="87"/>
      <c r="M405" s="87"/>
      <c r="N405" s="87"/>
      <c r="O405" s="87"/>
    </row>
    <row r="406" spans="7:15" s="96" customFormat="1" ht="13.8" x14ac:dyDescent="0.3">
      <c r="G406" s="87"/>
      <c r="H406" s="87"/>
      <c r="I406" s="87"/>
      <c r="J406" s="87"/>
      <c r="K406" s="87"/>
      <c r="L406" s="87"/>
      <c r="M406" s="87"/>
      <c r="N406" s="87"/>
      <c r="O406" s="87"/>
    </row>
    <row r="407" spans="7:15" s="96" customFormat="1" ht="13.8" x14ac:dyDescent="0.3">
      <c r="G407" s="87"/>
      <c r="H407" s="87"/>
      <c r="I407" s="87"/>
      <c r="J407" s="87"/>
      <c r="K407" s="87"/>
      <c r="L407" s="87"/>
      <c r="M407" s="87"/>
      <c r="N407" s="87"/>
      <c r="O407" s="87"/>
    </row>
    <row r="408" spans="7:15" s="96" customFormat="1" ht="13.8" x14ac:dyDescent="0.3">
      <c r="G408" s="87"/>
      <c r="H408" s="87"/>
      <c r="I408" s="87"/>
      <c r="J408" s="87"/>
      <c r="K408" s="87"/>
      <c r="L408" s="87"/>
      <c r="M408" s="87"/>
      <c r="N408" s="87"/>
      <c r="O408" s="87"/>
    </row>
    <row r="409" spans="7:15" s="96" customFormat="1" ht="13.8" x14ac:dyDescent="0.3">
      <c r="G409" s="87"/>
      <c r="H409" s="87"/>
      <c r="I409" s="87"/>
      <c r="J409" s="87"/>
      <c r="K409" s="87"/>
      <c r="L409" s="87"/>
      <c r="M409" s="87"/>
      <c r="N409" s="87"/>
      <c r="O409" s="87"/>
    </row>
    <row r="410" spans="7:15" s="96" customFormat="1" ht="13.8" x14ac:dyDescent="0.3">
      <c r="G410" s="87"/>
      <c r="H410" s="87"/>
      <c r="I410" s="87"/>
      <c r="J410" s="87"/>
      <c r="K410" s="87"/>
      <c r="L410" s="87"/>
      <c r="M410" s="87"/>
      <c r="N410" s="87"/>
      <c r="O410" s="87"/>
    </row>
    <row r="411" spans="7:15" s="96" customFormat="1" ht="13.8" x14ac:dyDescent="0.3">
      <c r="G411" s="87"/>
      <c r="H411" s="87"/>
      <c r="I411" s="87"/>
      <c r="J411" s="87"/>
      <c r="K411" s="87"/>
      <c r="L411" s="87"/>
      <c r="M411" s="87"/>
      <c r="N411" s="87"/>
      <c r="O411" s="87"/>
    </row>
    <row r="412" spans="7:15" s="96" customFormat="1" ht="13.8" x14ac:dyDescent="0.3">
      <c r="G412" s="87"/>
      <c r="H412" s="87"/>
      <c r="I412" s="87"/>
      <c r="J412" s="87"/>
      <c r="K412" s="87"/>
      <c r="L412" s="87"/>
      <c r="M412" s="87"/>
      <c r="N412" s="87"/>
      <c r="O412" s="87"/>
    </row>
    <row r="413" spans="7:15" s="96" customFormat="1" ht="13.8" x14ac:dyDescent="0.3">
      <c r="G413" s="87"/>
      <c r="H413" s="87"/>
      <c r="I413" s="87"/>
      <c r="J413" s="87"/>
      <c r="K413" s="87"/>
      <c r="L413" s="87"/>
      <c r="M413" s="87"/>
      <c r="N413" s="87"/>
      <c r="O413" s="87"/>
    </row>
    <row r="414" spans="7:15" s="96" customFormat="1" ht="13.8" x14ac:dyDescent="0.3">
      <c r="G414" s="87"/>
      <c r="H414" s="87"/>
      <c r="I414" s="87"/>
      <c r="J414" s="87"/>
      <c r="K414" s="87"/>
      <c r="L414" s="87"/>
      <c r="M414" s="87"/>
      <c r="N414" s="87"/>
      <c r="O414" s="87"/>
    </row>
    <row r="415" spans="7:15" s="96" customFormat="1" ht="13.8" x14ac:dyDescent="0.3">
      <c r="G415" s="87"/>
      <c r="H415" s="87"/>
      <c r="I415" s="87"/>
      <c r="J415" s="87"/>
      <c r="K415" s="87"/>
      <c r="L415" s="87"/>
      <c r="M415" s="87"/>
      <c r="N415" s="87"/>
      <c r="O415" s="87"/>
    </row>
    <row r="416" spans="7:15" s="96" customFormat="1" ht="13.8" x14ac:dyDescent="0.3">
      <c r="G416" s="87"/>
      <c r="H416" s="87"/>
      <c r="I416" s="87"/>
      <c r="J416" s="87"/>
      <c r="K416" s="87"/>
      <c r="L416" s="87"/>
      <c r="M416" s="87"/>
      <c r="N416" s="87"/>
      <c r="O416" s="87"/>
    </row>
    <row r="417" spans="1:15" s="96" customFormat="1" ht="13.8" x14ac:dyDescent="0.3">
      <c r="G417" s="87"/>
      <c r="H417" s="87"/>
      <c r="I417" s="87"/>
      <c r="J417" s="87"/>
      <c r="K417" s="87"/>
      <c r="L417" s="87"/>
      <c r="M417" s="87"/>
      <c r="N417" s="87"/>
      <c r="O417" s="87"/>
    </row>
    <row r="418" spans="1:15" s="96" customFormat="1" ht="13.8" x14ac:dyDescent="0.3">
      <c r="G418" s="87"/>
      <c r="H418" s="87"/>
      <c r="I418" s="87"/>
      <c r="J418" s="87"/>
      <c r="K418" s="87"/>
      <c r="L418" s="87"/>
      <c r="M418" s="87"/>
      <c r="N418" s="87"/>
      <c r="O418" s="87"/>
    </row>
    <row r="419" spans="1:15" s="96" customFormat="1" ht="13.8" x14ac:dyDescent="0.3">
      <c r="G419" s="87"/>
      <c r="H419" s="87"/>
      <c r="I419" s="87"/>
      <c r="J419" s="87"/>
      <c r="K419" s="87"/>
      <c r="L419" s="87"/>
      <c r="M419" s="87"/>
      <c r="N419" s="87"/>
      <c r="O419" s="87"/>
    </row>
    <row r="420" spans="1:15" s="96" customFormat="1" ht="13.8" x14ac:dyDescent="0.3">
      <c r="G420" s="87"/>
      <c r="H420" s="87"/>
      <c r="I420" s="87"/>
      <c r="J420" s="87"/>
      <c r="K420" s="87"/>
      <c r="L420" s="87"/>
      <c r="M420" s="87"/>
      <c r="N420" s="87"/>
      <c r="O420" s="87"/>
    </row>
    <row r="421" spans="1:15" s="96" customFormat="1" ht="13.8" x14ac:dyDescent="0.3">
      <c r="G421" s="87"/>
      <c r="H421" s="87"/>
      <c r="I421" s="87"/>
      <c r="J421" s="87"/>
      <c r="K421" s="87"/>
      <c r="L421" s="87"/>
      <c r="M421" s="87"/>
      <c r="N421" s="87"/>
      <c r="O421" s="87"/>
    </row>
    <row r="422" spans="1:15" s="96" customFormat="1" ht="13.8" x14ac:dyDescent="0.3">
      <c r="G422" s="87"/>
      <c r="H422" s="87"/>
      <c r="I422" s="87"/>
      <c r="J422" s="87"/>
      <c r="K422" s="87"/>
      <c r="L422" s="87"/>
      <c r="M422" s="87"/>
      <c r="N422" s="87"/>
      <c r="O422" s="87"/>
    </row>
    <row r="423" spans="1:15" s="96" customFormat="1" ht="13.8" x14ac:dyDescent="0.3">
      <c r="G423" s="87"/>
      <c r="H423" s="87"/>
      <c r="I423" s="87"/>
      <c r="J423" s="87"/>
      <c r="K423" s="87"/>
      <c r="L423" s="87"/>
      <c r="M423" s="87"/>
      <c r="N423" s="87"/>
      <c r="O423" s="87"/>
    </row>
    <row r="424" spans="1:15" s="96" customFormat="1" ht="13.8" x14ac:dyDescent="0.3">
      <c r="G424" s="87"/>
      <c r="H424" s="87"/>
      <c r="I424" s="87"/>
      <c r="J424" s="87"/>
      <c r="K424" s="87"/>
      <c r="L424" s="87"/>
      <c r="M424" s="87"/>
      <c r="N424" s="87"/>
      <c r="O424" s="87"/>
    </row>
    <row r="425" spans="1:15" s="96" customFormat="1" ht="13.8" x14ac:dyDescent="0.3">
      <c r="G425" s="87"/>
      <c r="H425" s="87"/>
      <c r="I425" s="87"/>
      <c r="J425" s="87"/>
      <c r="K425" s="87"/>
      <c r="L425" s="87"/>
      <c r="M425" s="87"/>
      <c r="N425" s="87"/>
      <c r="O425" s="87"/>
    </row>
    <row r="426" spans="1:15" s="96" customFormat="1" ht="13.8" x14ac:dyDescent="0.3">
      <c r="G426" s="87"/>
      <c r="H426" s="87"/>
      <c r="I426" s="87"/>
      <c r="J426" s="87"/>
      <c r="K426" s="87"/>
      <c r="L426" s="87"/>
      <c r="M426" s="87"/>
      <c r="N426" s="87"/>
      <c r="O426" s="87"/>
    </row>
    <row r="427" spans="1:15" s="96" customFormat="1" ht="13.8" x14ac:dyDescent="0.3">
      <c r="G427" s="87"/>
      <c r="H427" s="87"/>
      <c r="I427" s="87"/>
      <c r="J427" s="87"/>
      <c r="K427" s="87"/>
      <c r="L427" s="87"/>
      <c r="M427" s="87"/>
      <c r="N427" s="87"/>
      <c r="O427" s="87"/>
    </row>
    <row r="428" spans="1:15" s="96" customFormat="1" x14ac:dyDescent="0.3">
      <c r="A428" s="85"/>
      <c r="G428" s="87"/>
      <c r="H428" s="87"/>
      <c r="I428" s="87"/>
      <c r="J428" s="87"/>
      <c r="K428" s="87"/>
      <c r="L428" s="87"/>
      <c r="M428" s="87"/>
      <c r="N428" s="87"/>
      <c r="O428" s="87"/>
    </row>
    <row r="429" spans="1:15" s="96" customFormat="1" x14ac:dyDescent="0.3">
      <c r="A429" s="85"/>
      <c r="G429" s="87"/>
      <c r="H429" s="87"/>
      <c r="I429" s="87"/>
      <c r="J429" s="87"/>
      <c r="K429" s="87"/>
      <c r="L429" s="87"/>
      <c r="M429" s="87"/>
      <c r="N429" s="87"/>
      <c r="O429" s="87"/>
    </row>
    <row r="430" spans="1:15" s="96" customFormat="1" x14ac:dyDescent="0.3">
      <c r="A430" s="85"/>
      <c r="G430" s="87"/>
      <c r="H430" s="87"/>
      <c r="I430" s="87"/>
      <c r="J430" s="87"/>
      <c r="K430" s="87"/>
      <c r="L430" s="87"/>
      <c r="M430" s="87"/>
      <c r="N430" s="87"/>
      <c r="O430" s="87"/>
    </row>
    <row r="431" spans="1:15" s="96" customFormat="1" x14ac:dyDescent="0.3">
      <c r="A431" s="85"/>
      <c r="G431" s="87"/>
      <c r="H431" s="87"/>
      <c r="I431" s="87"/>
      <c r="J431" s="87"/>
      <c r="K431" s="87"/>
      <c r="L431" s="87"/>
      <c r="M431" s="87"/>
      <c r="N431" s="87"/>
      <c r="O431" s="87"/>
    </row>
    <row r="432" spans="1:15" s="96" customFormat="1" x14ac:dyDescent="0.3">
      <c r="A432" s="85"/>
      <c r="G432" s="87"/>
      <c r="H432" s="87"/>
      <c r="I432" s="87"/>
      <c r="J432" s="87"/>
      <c r="K432" s="87"/>
      <c r="L432" s="87"/>
      <c r="M432" s="87"/>
      <c r="N432" s="85"/>
      <c r="O432" s="85"/>
    </row>
    <row r="433" spans="1:108" s="96" customFormat="1" x14ac:dyDescent="0.3">
      <c r="A433" s="85"/>
      <c r="G433" s="87"/>
      <c r="H433" s="87"/>
      <c r="I433" s="87"/>
      <c r="J433" s="87"/>
      <c r="K433" s="87"/>
      <c r="L433" s="87"/>
      <c r="M433" s="87"/>
      <c r="N433" s="85"/>
      <c r="O433" s="85"/>
    </row>
    <row r="434" spans="1:108" s="96" customFormat="1" x14ac:dyDescent="0.3">
      <c r="A434" s="85"/>
      <c r="G434" s="87"/>
      <c r="H434" s="87"/>
      <c r="I434" s="87"/>
      <c r="J434" s="87"/>
      <c r="K434" s="87"/>
      <c r="L434" s="87"/>
      <c r="M434" s="87"/>
      <c r="N434" s="85"/>
      <c r="O434" s="85"/>
    </row>
    <row r="435" spans="1:108" s="96" customFormat="1" x14ac:dyDescent="0.3">
      <c r="A435" s="85"/>
      <c r="G435" s="87"/>
      <c r="H435" s="87"/>
      <c r="I435" s="87"/>
      <c r="J435" s="87"/>
      <c r="K435" s="87"/>
      <c r="L435" s="87"/>
      <c r="M435" s="87"/>
      <c r="N435" s="85"/>
      <c r="O435" s="85"/>
    </row>
    <row r="436" spans="1:108" s="96" customFormat="1" x14ac:dyDescent="0.3">
      <c r="A436" s="85"/>
      <c r="G436" s="87"/>
      <c r="H436" s="87"/>
      <c r="I436" s="87"/>
      <c r="J436" s="87"/>
      <c r="K436" s="87"/>
      <c r="L436" s="87"/>
      <c r="M436" s="87"/>
      <c r="N436" s="85"/>
      <c r="O436" s="85"/>
    </row>
    <row r="437" spans="1:108" s="96" customFormat="1" x14ac:dyDescent="0.3">
      <c r="A437" s="85"/>
      <c r="G437" s="87"/>
      <c r="H437" s="87"/>
      <c r="I437" s="87"/>
      <c r="J437" s="87"/>
      <c r="K437" s="87"/>
      <c r="L437" s="87"/>
      <c r="M437" s="87"/>
      <c r="N437" s="85"/>
      <c r="O437" s="85"/>
    </row>
    <row r="438" spans="1:108" x14ac:dyDescent="0.3">
      <c r="B438" s="96"/>
      <c r="C438" s="96"/>
      <c r="D438" s="96"/>
      <c r="E438" s="96"/>
      <c r="G438" s="87"/>
      <c r="H438" s="87"/>
      <c r="J438" s="87"/>
      <c r="K438" s="87"/>
      <c r="L438" s="87"/>
      <c r="M438" s="87"/>
      <c r="N438" s="85"/>
      <c r="O438" s="85"/>
      <c r="P438" s="85"/>
      <c r="Q438" s="85"/>
      <c r="R438" s="85"/>
      <c r="S438" s="85"/>
      <c r="T438" s="85"/>
      <c r="U438" s="85"/>
      <c r="V438" s="85"/>
      <c r="W438" s="85"/>
      <c r="X438" s="85"/>
      <c r="Y438" s="85"/>
      <c r="Z438" s="85"/>
      <c r="AA438" s="85"/>
      <c r="AB438" s="85"/>
      <c r="AC438" s="85"/>
      <c r="AD438" s="85"/>
      <c r="AE438" s="85"/>
      <c r="AF438" s="85"/>
      <c r="AG438" s="85"/>
      <c r="AH438" s="85"/>
      <c r="AI438" s="85"/>
      <c r="AJ438" s="85"/>
      <c r="AK438" s="85"/>
      <c r="AL438" s="85"/>
      <c r="AM438" s="85"/>
      <c r="AN438" s="85"/>
      <c r="AO438" s="85"/>
      <c r="AP438" s="85"/>
      <c r="AQ438" s="85"/>
      <c r="AR438" s="85"/>
      <c r="AS438" s="85"/>
      <c r="AT438" s="85"/>
      <c r="AU438" s="85"/>
      <c r="AV438" s="85"/>
      <c r="AW438" s="85"/>
      <c r="AX438" s="85"/>
      <c r="AY438" s="85"/>
      <c r="AZ438" s="85"/>
      <c r="BA438" s="85"/>
      <c r="BB438" s="85"/>
      <c r="BC438" s="85"/>
      <c r="BD438" s="85"/>
      <c r="BE438" s="85"/>
      <c r="BF438" s="85"/>
      <c r="BG438" s="85"/>
      <c r="BH438" s="85"/>
      <c r="BI438" s="85"/>
      <c r="BJ438" s="85"/>
      <c r="BK438" s="85"/>
      <c r="BL438" s="85"/>
      <c r="BM438" s="85"/>
      <c r="BN438" s="85"/>
      <c r="BO438" s="85"/>
      <c r="BP438" s="85"/>
      <c r="BQ438" s="85"/>
      <c r="BR438" s="85"/>
      <c r="BS438" s="85"/>
      <c r="BT438" s="85"/>
      <c r="BU438" s="85"/>
      <c r="BV438" s="85"/>
      <c r="BW438" s="85"/>
      <c r="BX438" s="85"/>
      <c r="BY438" s="85"/>
      <c r="BZ438" s="85"/>
      <c r="CA438" s="85"/>
      <c r="CB438" s="85"/>
      <c r="CC438" s="85"/>
      <c r="CD438" s="85"/>
      <c r="CE438" s="85"/>
      <c r="CF438" s="85"/>
      <c r="CG438" s="85"/>
      <c r="CH438" s="85"/>
      <c r="CI438" s="85"/>
      <c r="CJ438" s="85"/>
      <c r="CK438" s="85"/>
      <c r="CL438" s="85"/>
      <c r="CM438" s="85"/>
      <c r="CN438" s="85"/>
      <c r="CO438" s="85"/>
      <c r="CP438" s="85"/>
      <c r="CQ438" s="85"/>
      <c r="CR438" s="85"/>
      <c r="CS438" s="85"/>
      <c r="CT438" s="85"/>
      <c r="CU438" s="85"/>
      <c r="CV438" s="85"/>
      <c r="CW438" s="85"/>
      <c r="CX438" s="85"/>
      <c r="CY438" s="85"/>
      <c r="CZ438" s="85"/>
      <c r="DA438" s="85"/>
      <c r="DB438" s="85"/>
      <c r="DC438" s="85"/>
      <c r="DD438" s="85"/>
    </row>
    <row r="439" spans="1:108" x14ac:dyDescent="0.3">
      <c r="B439" s="96"/>
      <c r="C439" s="96"/>
      <c r="D439" s="96"/>
      <c r="E439" s="96"/>
      <c r="G439" s="87"/>
      <c r="H439" s="87"/>
      <c r="J439" s="87"/>
      <c r="K439" s="87"/>
      <c r="L439" s="87"/>
      <c r="M439" s="87"/>
      <c r="N439" s="85"/>
      <c r="O439" s="85"/>
      <c r="P439" s="85"/>
      <c r="Q439" s="85"/>
      <c r="R439" s="85"/>
      <c r="S439" s="85"/>
      <c r="T439" s="85"/>
      <c r="U439" s="85"/>
      <c r="V439" s="85"/>
      <c r="W439" s="85"/>
      <c r="X439" s="85"/>
      <c r="Y439" s="85"/>
      <c r="Z439" s="85"/>
      <c r="AA439" s="85"/>
      <c r="AB439" s="85"/>
      <c r="AC439" s="85"/>
      <c r="AD439" s="85"/>
      <c r="AE439" s="85"/>
      <c r="AF439" s="85"/>
      <c r="AG439" s="85"/>
      <c r="AH439" s="85"/>
      <c r="AI439" s="85"/>
      <c r="AJ439" s="85"/>
      <c r="AK439" s="85"/>
      <c r="AL439" s="85"/>
      <c r="AM439" s="85"/>
      <c r="AN439" s="85"/>
      <c r="AO439" s="85"/>
      <c r="AP439" s="85"/>
      <c r="AQ439" s="85"/>
      <c r="AR439" s="85"/>
      <c r="AS439" s="85"/>
      <c r="AT439" s="85"/>
      <c r="AU439" s="85"/>
      <c r="AV439" s="85"/>
      <c r="AW439" s="85"/>
      <c r="AX439" s="85"/>
      <c r="AY439" s="85"/>
      <c r="AZ439" s="85"/>
      <c r="BA439" s="85"/>
      <c r="BB439" s="85"/>
      <c r="BC439" s="85"/>
      <c r="BD439" s="85"/>
      <c r="BE439" s="85"/>
      <c r="BF439" s="85"/>
      <c r="BG439" s="85"/>
      <c r="BH439" s="85"/>
      <c r="BI439" s="85"/>
      <c r="BJ439" s="85"/>
      <c r="BK439" s="85"/>
      <c r="BL439" s="85"/>
      <c r="BM439" s="85"/>
      <c r="BN439" s="85"/>
      <c r="BO439" s="85"/>
      <c r="BP439" s="85"/>
      <c r="BQ439" s="85"/>
      <c r="BR439" s="85"/>
      <c r="BS439" s="85"/>
      <c r="BT439" s="85"/>
      <c r="BU439" s="85"/>
      <c r="BV439" s="85"/>
      <c r="BW439" s="85"/>
      <c r="BX439" s="85"/>
      <c r="BY439" s="85"/>
      <c r="BZ439" s="85"/>
      <c r="CA439" s="85"/>
      <c r="CB439" s="85"/>
      <c r="CC439" s="85"/>
      <c r="CD439" s="85"/>
      <c r="CE439" s="85"/>
      <c r="CF439" s="85"/>
      <c r="CG439" s="85"/>
      <c r="CH439" s="85"/>
      <c r="CI439" s="85"/>
      <c r="CJ439" s="85"/>
      <c r="CK439" s="85"/>
      <c r="CL439" s="85"/>
      <c r="CM439" s="85"/>
      <c r="CN439" s="85"/>
      <c r="CO439" s="85"/>
      <c r="CP439" s="85"/>
      <c r="CQ439" s="85"/>
      <c r="CR439" s="85"/>
      <c r="CS439" s="85"/>
      <c r="CT439" s="85"/>
      <c r="CU439" s="85"/>
      <c r="CV439" s="85"/>
      <c r="CW439" s="85"/>
      <c r="CX439" s="85"/>
      <c r="CY439" s="85"/>
      <c r="CZ439" s="85"/>
      <c r="DA439" s="85"/>
      <c r="DB439" s="85"/>
      <c r="DC439" s="85"/>
      <c r="DD439" s="85"/>
    </row>
    <row r="440" spans="1:108" x14ac:dyDescent="0.3">
      <c r="B440" s="96"/>
      <c r="C440" s="96"/>
      <c r="D440" s="96"/>
      <c r="E440" s="96"/>
      <c r="G440" s="87"/>
      <c r="H440" s="87"/>
      <c r="J440" s="87"/>
      <c r="K440" s="87"/>
      <c r="L440" s="87"/>
      <c r="M440" s="87"/>
      <c r="N440" s="85"/>
      <c r="O440" s="85"/>
      <c r="P440" s="85"/>
      <c r="Q440" s="85"/>
      <c r="R440" s="85"/>
      <c r="S440" s="85"/>
      <c r="T440" s="85"/>
      <c r="U440" s="85"/>
      <c r="V440" s="85"/>
      <c r="W440" s="85"/>
      <c r="X440" s="85"/>
      <c r="Y440" s="85"/>
      <c r="Z440" s="85"/>
      <c r="AA440" s="85"/>
      <c r="AB440" s="85"/>
      <c r="AC440" s="85"/>
      <c r="AD440" s="85"/>
      <c r="AE440" s="85"/>
      <c r="AF440" s="85"/>
      <c r="AG440" s="85"/>
      <c r="AH440" s="85"/>
      <c r="AI440" s="85"/>
      <c r="AJ440" s="85"/>
      <c r="AK440" s="85"/>
      <c r="AL440" s="85"/>
      <c r="AM440" s="85"/>
      <c r="AN440" s="85"/>
      <c r="AO440" s="85"/>
      <c r="AP440" s="85"/>
      <c r="AQ440" s="85"/>
      <c r="AR440" s="85"/>
      <c r="AS440" s="85"/>
      <c r="AT440" s="85"/>
      <c r="AU440" s="85"/>
      <c r="AV440" s="85"/>
      <c r="AW440" s="85"/>
      <c r="AX440" s="85"/>
      <c r="AY440" s="85"/>
      <c r="AZ440" s="85"/>
      <c r="BA440" s="85"/>
      <c r="BB440" s="85"/>
      <c r="BC440" s="85"/>
      <c r="BD440" s="85"/>
      <c r="BE440" s="85"/>
      <c r="BF440" s="85"/>
      <c r="BG440" s="85"/>
      <c r="BH440" s="85"/>
      <c r="BI440" s="85"/>
      <c r="BJ440" s="85"/>
      <c r="BK440" s="85"/>
      <c r="BL440" s="85"/>
      <c r="BM440" s="85"/>
      <c r="BN440" s="85"/>
      <c r="BO440" s="85"/>
      <c r="BP440" s="85"/>
      <c r="BQ440" s="85"/>
      <c r="BR440" s="85"/>
      <c r="BS440" s="85"/>
      <c r="BT440" s="85"/>
      <c r="BU440" s="85"/>
      <c r="BV440" s="85"/>
      <c r="BW440" s="85"/>
      <c r="BX440" s="85"/>
      <c r="BY440" s="85"/>
      <c r="BZ440" s="85"/>
      <c r="CA440" s="85"/>
      <c r="CB440" s="85"/>
      <c r="CC440" s="85"/>
      <c r="CD440" s="85"/>
      <c r="CE440" s="85"/>
      <c r="CF440" s="85"/>
      <c r="CG440" s="85"/>
      <c r="CH440" s="85"/>
      <c r="CI440" s="85"/>
      <c r="CJ440" s="85"/>
      <c r="CK440" s="85"/>
      <c r="CL440" s="85"/>
      <c r="CM440" s="85"/>
      <c r="CN440" s="85"/>
      <c r="CO440" s="85"/>
      <c r="CP440" s="85"/>
      <c r="CQ440" s="85"/>
      <c r="CR440" s="85"/>
      <c r="CS440" s="85"/>
      <c r="CT440" s="85"/>
      <c r="CU440" s="85"/>
      <c r="CV440" s="85"/>
      <c r="CW440" s="85"/>
      <c r="CX440" s="85"/>
      <c r="CY440" s="85"/>
      <c r="CZ440" s="85"/>
      <c r="DA440" s="85"/>
      <c r="DB440" s="85"/>
      <c r="DC440" s="85"/>
      <c r="DD440" s="85"/>
    </row>
    <row r="441" spans="1:108" x14ac:dyDescent="0.3">
      <c r="B441" s="96"/>
      <c r="C441" s="96"/>
      <c r="D441" s="96"/>
      <c r="E441" s="96"/>
      <c r="G441" s="87"/>
      <c r="H441" s="87"/>
      <c r="J441" s="87"/>
      <c r="K441" s="87"/>
      <c r="L441" s="87"/>
      <c r="M441" s="87"/>
      <c r="N441" s="85"/>
      <c r="O441" s="85"/>
      <c r="P441" s="85"/>
      <c r="Q441" s="85"/>
      <c r="R441" s="85"/>
      <c r="S441" s="85"/>
      <c r="T441" s="85"/>
      <c r="U441" s="85"/>
      <c r="V441" s="85"/>
      <c r="W441" s="85"/>
      <c r="X441" s="85"/>
      <c r="Y441" s="85"/>
      <c r="Z441" s="85"/>
      <c r="AA441" s="85"/>
      <c r="AB441" s="85"/>
      <c r="AC441" s="85"/>
      <c r="AD441" s="85"/>
      <c r="AE441" s="85"/>
      <c r="AF441" s="85"/>
      <c r="AG441" s="85"/>
      <c r="AH441" s="85"/>
      <c r="AI441" s="85"/>
      <c r="AJ441" s="85"/>
      <c r="AK441" s="85"/>
      <c r="AL441" s="85"/>
      <c r="AM441" s="85"/>
      <c r="AN441" s="85"/>
      <c r="AO441" s="85"/>
      <c r="AP441" s="85"/>
      <c r="AQ441" s="85"/>
      <c r="AR441" s="85"/>
      <c r="AS441" s="85"/>
      <c r="AT441" s="85"/>
      <c r="AU441" s="85"/>
      <c r="AV441" s="85"/>
      <c r="AW441" s="85"/>
      <c r="AX441" s="85"/>
      <c r="AY441" s="85"/>
      <c r="AZ441" s="85"/>
      <c r="BA441" s="85"/>
      <c r="BB441" s="85"/>
      <c r="BC441" s="85"/>
      <c r="BD441" s="85"/>
      <c r="BE441" s="85"/>
      <c r="BF441" s="85"/>
      <c r="BG441" s="85"/>
      <c r="BH441" s="85"/>
      <c r="BI441" s="85"/>
      <c r="BJ441" s="85"/>
      <c r="BK441" s="85"/>
      <c r="BL441" s="85"/>
      <c r="BM441" s="85"/>
      <c r="BN441" s="85"/>
      <c r="BO441" s="85"/>
      <c r="BP441" s="85"/>
      <c r="BQ441" s="85"/>
      <c r="BR441" s="85"/>
      <c r="BS441" s="85"/>
      <c r="BT441" s="85"/>
      <c r="BU441" s="85"/>
      <c r="BV441" s="85"/>
      <c r="BW441" s="85"/>
      <c r="BX441" s="85"/>
      <c r="BY441" s="85"/>
      <c r="BZ441" s="85"/>
      <c r="CA441" s="85"/>
      <c r="CB441" s="85"/>
      <c r="CC441" s="85"/>
      <c r="CD441" s="85"/>
      <c r="CE441" s="85"/>
      <c r="CF441" s="85"/>
      <c r="CG441" s="85"/>
      <c r="CH441" s="85"/>
      <c r="CI441" s="85"/>
      <c r="CJ441" s="85"/>
      <c r="CK441" s="85"/>
      <c r="CL441" s="85"/>
      <c r="CM441" s="85"/>
      <c r="CN441" s="85"/>
      <c r="CO441" s="85"/>
      <c r="CP441" s="85"/>
      <c r="CQ441" s="85"/>
      <c r="CR441" s="85"/>
      <c r="CS441" s="85"/>
      <c r="CT441" s="85"/>
      <c r="CU441" s="85"/>
      <c r="CV441" s="85"/>
      <c r="CW441" s="85"/>
      <c r="CX441" s="85"/>
      <c r="CY441" s="85"/>
      <c r="CZ441" s="85"/>
      <c r="DA441" s="85"/>
      <c r="DB441" s="85"/>
      <c r="DC441" s="85"/>
      <c r="DD441" s="85"/>
    </row>
    <row r="442" spans="1:108" x14ac:dyDescent="0.3">
      <c r="B442" s="96"/>
      <c r="C442" s="96"/>
      <c r="D442" s="96"/>
      <c r="E442" s="96"/>
      <c r="G442" s="87"/>
      <c r="H442" s="87"/>
      <c r="J442" s="87"/>
      <c r="K442" s="87"/>
      <c r="L442" s="87"/>
      <c r="M442" s="87"/>
      <c r="N442" s="85"/>
      <c r="O442" s="85"/>
      <c r="P442" s="85"/>
      <c r="Q442" s="85"/>
      <c r="R442" s="85"/>
      <c r="S442" s="85"/>
      <c r="T442" s="85"/>
      <c r="U442" s="85"/>
      <c r="V442" s="85"/>
      <c r="W442" s="85"/>
      <c r="X442" s="85"/>
      <c r="Y442" s="85"/>
      <c r="Z442" s="85"/>
      <c r="AA442" s="85"/>
      <c r="AB442" s="85"/>
      <c r="AC442" s="85"/>
      <c r="AD442" s="85"/>
      <c r="AE442" s="85"/>
      <c r="AF442" s="85"/>
      <c r="AG442" s="85"/>
      <c r="AH442" s="85"/>
      <c r="AI442" s="85"/>
      <c r="AJ442" s="85"/>
      <c r="AK442" s="85"/>
      <c r="AL442" s="85"/>
      <c r="AM442" s="85"/>
      <c r="AN442" s="85"/>
      <c r="AO442" s="85"/>
      <c r="AP442" s="85"/>
      <c r="AQ442" s="85"/>
      <c r="AR442" s="85"/>
      <c r="AS442" s="85"/>
      <c r="AT442" s="85"/>
      <c r="AU442" s="85"/>
      <c r="AV442" s="85"/>
      <c r="AW442" s="85"/>
      <c r="AX442" s="85"/>
      <c r="AY442" s="85"/>
      <c r="AZ442" s="85"/>
      <c r="BA442" s="85"/>
      <c r="BB442" s="85"/>
      <c r="BC442" s="85"/>
      <c r="BD442" s="85"/>
      <c r="BE442" s="85"/>
      <c r="BF442" s="85"/>
      <c r="BG442" s="85"/>
      <c r="BH442" s="85"/>
      <c r="BI442" s="85"/>
      <c r="BJ442" s="85"/>
      <c r="BK442" s="85"/>
      <c r="BL442" s="85"/>
      <c r="BM442" s="85"/>
      <c r="BN442" s="85"/>
      <c r="BO442" s="85"/>
      <c r="BP442" s="85"/>
      <c r="BQ442" s="85"/>
      <c r="BR442" s="85"/>
      <c r="BS442" s="85"/>
      <c r="BT442" s="85"/>
      <c r="BU442" s="85"/>
      <c r="BV442" s="85"/>
      <c r="BW442" s="85"/>
      <c r="BX442" s="85"/>
      <c r="BY442" s="85"/>
      <c r="BZ442" s="85"/>
      <c r="CA442" s="85"/>
      <c r="CB442" s="85"/>
      <c r="CC442" s="85"/>
      <c r="CD442" s="85"/>
      <c r="CE442" s="85"/>
      <c r="CF442" s="85"/>
      <c r="CG442" s="85"/>
      <c r="CH442" s="85"/>
      <c r="CI442" s="85"/>
      <c r="CJ442" s="85"/>
      <c r="CK442" s="85"/>
      <c r="CL442" s="85"/>
      <c r="CM442" s="85"/>
      <c r="CN442" s="85"/>
      <c r="CO442" s="85"/>
      <c r="CP442" s="85"/>
      <c r="CQ442" s="85"/>
      <c r="CR442" s="85"/>
      <c r="CS442" s="85"/>
      <c r="CT442" s="85"/>
      <c r="CU442" s="85"/>
      <c r="CV442" s="85"/>
      <c r="CW442" s="85"/>
      <c r="CX442" s="85"/>
      <c r="CY442" s="85"/>
      <c r="CZ442" s="85"/>
      <c r="DA442" s="85"/>
      <c r="DB442" s="85"/>
      <c r="DC442" s="85"/>
      <c r="DD442" s="85"/>
    </row>
    <row r="443" spans="1:108" x14ac:dyDescent="0.3">
      <c r="B443" s="96"/>
      <c r="C443" s="96"/>
      <c r="D443" s="96"/>
      <c r="E443" s="96"/>
      <c r="G443" s="87"/>
      <c r="H443" s="87"/>
      <c r="J443" s="87"/>
      <c r="K443" s="87"/>
      <c r="L443" s="87"/>
      <c r="M443" s="87"/>
      <c r="N443" s="85"/>
      <c r="O443" s="85"/>
      <c r="P443" s="85"/>
      <c r="Q443" s="85"/>
      <c r="R443" s="85"/>
      <c r="S443" s="85"/>
      <c r="T443" s="85"/>
      <c r="U443" s="85"/>
      <c r="V443" s="85"/>
      <c r="W443" s="85"/>
      <c r="X443" s="85"/>
      <c r="Y443" s="85"/>
      <c r="Z443" s="85"/>
      <c r="AA443" s="85"/>
      <c r="AB443" s="85"/>
      <c r="AC443" s="85"/>
      <c r="AD443" s="85"/>
      <c r="AE443" s="85"/>
      <c r="AF443" s="85"/>
      <c r="AG443" s="85"/>
      <c r="AH443" s="85"/>
      <c r="AI443" s="85"/>
      <c r="AJ443" s="85"/>
      <c r="AK443" s="85"/>
      <c r="AL443" s="85"/>
      <c r="AM443" s="85"/>
      <c r="AN443" s="85"/>
      <c r="AO443" s="85"/>
      <c r="AP443" s="85"/>
      <c r="AQ443" s="85"/>
      <c r="AR443" s="85"/>
      <c r="AS443" s="85"/>
      <c r="AT443" s="85"/>
      <c r="AU443" s="85"/>
      <c r="AV443" s="85"/>
      <c r="AW443" s="85"/>
      <c r="AX443" s="85"/>
      <c r="AY443" s="85"/>
      <c r="AZ443" s="85"/>
      <c r="BA443" s="85"/>
      <c r="BB443" s="85"/>
      <c r="BC443" s="85"/>
      <c r="BD443" s="85"/>
      <c r="BE443" s="85"/>
      <c r="BF443" s="85"/>
      <c r="BG443" s="85"/>
      <c r="BH443" s="85"/>
      <c r="BI443" s="85"/>
      <c r="BJ443" s="85"/>
      <c r="BK443" s="85"/>
      <c r="BL443" s="85"/>
      <c r="BM443" s="85"/>
      <c r="BN443" s="85"/>
      <c r="BO443" s="85"/>
      <c r="BP443" s="85"/>
      <c r="BQ443" s="85"/>
      <c r="BR443" s="85"/>
      <c r="BS443" s="85"/>
      <c r="BT443" s="85"/>
      <c r="BU443" s="85"/>
      <c r="BV443" s="85"/>
      <c r="BW443" s="85"/>
      <c r="BX443" s="85"/>
      <c r="BY443" s="85"/>
      <c r="BZ443" s="85"/>
      <c r="CA443" s="85"/>
      <c r="CB443" s="85"/>
      <c r="CC443" s="85"/>
      <c r="CD443" s="85"/>
      <c r="CE443" s="85"/>
      <c r="CF443" s="85"/>
      <c r="CG443" s="85"/>
      <c r="CH443" s="85"/>
      <c r="CI443" s="85"/>
      <c r="CJ443" s="85"/>
      <c r="CK443" s="85"/>
      <c r="CL443" s="85"/>
      <c r="CM443" s="85"/>
      <c r="CN443" s="85"/>
      <c r="CO443" s="85"/>
      <c r="CP443" s="85"/>
      <c r="CQ443" s="85"/>
      <c r="CR443" s="85"/>
      <c r="CS443" s="85"/>
      <c r="CT443" s="85"/>
      <c r="CU443" s="85"/>
      <c r="CV443" s="85"/>
      <c r="CW443" s="85"/>
      <c r="CX443" s="85"/>
      <c r="CY443" s="85"/>
      <c r="CZ443" s="85"/>
      <c r="DA443" s="85"/>
      <c r="DB443" s="85"/>
      <c r="DC443" s="85"/>
      <c r="DD443" s="85"/>
    </row>
    <row r="444" spans="1:108" x14ac:dyDescent="0.3">
      <c r="B444" s="96"/>
      <c r="C444" s="96"/>
      <c r="D444" s="96"/>
      <c r="E444" s="96"/>
      <c r="G444" s="87"/>
      <c r="H444" s="87"/>
      <c r="J444" s="87"/>
      <c r="K444" s="87"/>
      <c r="L444" s="87"/>
      <c r="M444" s="87"/>
      <c r="N444" s="85"/>
      <c r="O444" s="85"/>
      <c r="P444" s="85"/>
      <c r="Q444" s="85"/>
      <c r="R444" s="85"/>
      <c r="S444" s="85"/>
      <c r="T444" s="85"/>
      <c r="U444" s="85"/>
      <c r="V444" s="85"/>
      <c r="W444" s="85"/>
      <c r="X444" s="85"/>
      <c r="Y444" s="85"/>
      <c r="Z444" s="85"/>
      <c r="AA444" s="85"/>
      <c r="AB444" s="85"/>
      <c r="AC444" s="85"/>
      <c r="AD444" s="85"/>
      <c r="AE444" s="85"/>
      <c r="AF444" s="85"/>
      <c r="AG444" s="85"/>
      <c r="AH444" s="85"/>
      <c r="AI444" s="85"/>
      <c r="AJ444" s="85"/>
      <c r="AK444" s="85"/>
      <c r="AL444" s="85"/>
      <c r="AM444" s="85"/>
      <c r="AN444" s="85"/>
      <c r="AO444" s="85"/>
      <c r="AP444" s="85"/>
      <c r="AQ444" s="85"/>
      <c r="AR444" s="85"/>
      <c r="AS444" s="85"/>
      <c r="AT444" s="85"/>
      <c r="AU444" s="85"/>
      <c r="AV444" s="85"/>
      <c r="AW444" s="85"/>
      <c r="AX444" s="85"/>
      <c r="AY444" s="85"/>
      <c r="AZ444" s="85"/>
      <c r="BA444" s="85"/>
      <c r="BB444" s="85"/>
      <c r="BC444" s="85"/>
      <c r="BD444" s="85"/>
      <c r="BE444" s="85"/>
      <c r="BF444" s="85"/>
      <c r="BG444" s="85"/>
      <c r="BH444" s="85"/>
      <c r="BI444" s="85"/>
      <c r="BJ444" s="85"/>
      <c r="BK444" s="85"/>
      <c r="BL444" s="85"/>
      <c r="BM444" s="85"/>
      <c r="BN444" s="85"/>
      <c r="BO444" s="85"/>
      <c r="BP444" s="85"/>
      <c r="BQ444" s="85"/>
      <c r="BR444" s="85"/>
      <c r="BS444" s="85"/>
      <c r="BT444" s="85"/>
      <c r="BU444" s="85"/>
      <c r="BV444" s="85"/>
      <c r="BW444" s="85"/>
      <c r="BX444" s="85"/>
      <c r="BY444" s="85"/>
      <c r="BZ444" s="85"/>
      <c r="CA444" s="85"/>
      <c r="CB444" s="85"/>
      <c r="CC444" s="85"/>
      <c r="CD444" s="85"/>
      <c r="CE444" s="85"/>
      <c r="CF444" s="85"/>
      <c r="CG444" s="85"/>
      <c r="CH444" s="85"/>
      <c r="CI444" s="85"/>
      <c r="CJ444" s="85"/>
      <c r="CK444" s="85"/>
      <c r="CL444" s="85"/>
      <c r="CM444" s="85"/>
      <c r="CN444" s="85"/>
      <c r="CO444" s="85"/>
      <c r="CP444" s="85"/>
      <c r="CQ444" s="85"/>
      <c r="CR444" s="85"/>
      <c r="CS444" s="85"/>
      <c r="CT444" s="85"/>
      <c r="CU444" s="85"/>
      <c r="CV444" s="85"/>
      <c r="CW444" s="85"/>
      <c r="CX444" s="85"/>
      <c r="CY444" s="85"/>
      <c r="CZ444" s="85"/>
      <c r="DA444" s="85"/>
      <c r="DB444" s="85"/>
      <c r="DC444" s="85"/>
      <c r="DD444" s="85"/>
    </row>
    <row r="445" spans="1:108" x14ac:dyDescent="0.3">
      <c r="B445" s="96"/>
      <c r="C445" s="96"/>
      <c r="D445" s="96"/>
      <c r="E445" s="96"/>
      <c r="G445" s="87"/>
      <c r="H445" s="87"/>
      <c r="J445" s="87"/>
      <c r="K445" s="87"/>
      <c r="L445" s="87"/>
      <c r="M445" s="87"/>
      <c r="N445" s="85"/>
      <c r="O445" s="85"/>
      <c r="P445" s="85"/>
      <c r="Q445" s="85"/>
      <c r="R445" s="85"/>
      <c r="S445" s="85"/>
      <c r="T445" s="85"/>
      <c r="U445" s="85"/>
      <c r="V445" s="85"/>
      <c r="W445" s="85"/>
      <c r="X445" s="85"/>
      <c r="Y445" s="85"/>
      <c r="Z445" s="85"/>
      <c r="AA445" s="85"/>
      <c r="AB445" s="85"/>
      <c r="AC445" s="85"/>
      <c r="AD445" s="85"/>
      <c r="AE445" s="85"/>
      <c r="AF445" s="85"/>
      <c r="AG445" s="85"/>
      <c r="AH445" s="85"/>
      <c r="AI445" s="85"/>
      <c r="AJ445" s="85"/>
      <c r="AK445" s="85"/>
      <c r="AL445" s="85"/>
      <c r="AM445" s="85"/>
      <c r="AN445" s="85"/>
      <c r="AO445" s="85"/>
      <c r="AP445" s="85"/>
      <c r="AQ445" s="85"/>
      <c r="AR445" s="85"/>
      <c r="AS445" s="85"/>
      <c r="AT445" s="85"/>
      <c r="AU445" s="85"/>
      <c r="AV445" s="85"/>
      <c r="AW445" s="85"/>
      <c r="AX445" s="85"/>
      <c r="AY445" s="85"/>
      <c r="AZ445" s="85"/>
      <c r="BA445" s="85"/>
      <c r="BB445" s="85"/>
      <c r="BC445" s="85"/>
      <c r="BD445" s="85"/>
      <c r="BE445" s="85"/>
      <c r="BF445" s="85"/>
      <c r="BG445" s="85"/>
      <c r="BH445" s="85"/>
      <c r="BI445" s="85"/>
      <c r="BJ445" s="85"/>
      <c r="BK445" s="85"/>
      <c r="BL445" s="85"/>
      <c r="BM445" s="85"/>
      <c r="BN445" s="85"/>
      <c r="BO445" s="85"/>
      <c r="BP445" s="85"/>
      <c r="BQ445" s="85"/>
      <c r="BR445" s="85"/>
      <c r="BS445" s="85"/>
      <c r="BT445" s="85"/>
      <c r="BU445" s="85"/>
      <c r="BV445" s="85"/>
      <c r="BW445" s="85"/>
      <c r="BX445" s="85"/>
      <c r="BY445" s="85"/>
      <c r="BZ445" s="85"/>
      <c r="CA445" s="85"/>
      <c r="CB445" s="85"/>
      <c r="CC445" s="85"/>
      <c r="CD445" s="85"/>
      <c r="CE445" s="85"/>
      <c r="CF445" s="85"/>
      <c r="CG445" s="85"/>
      <c r="CH445" s="85"/>
      <c r="CI445" s="85"/>
      <c r="CJ445" s="85"/>
      <c r="CK445" s="85"/>
      <c r="CL445" s="85"/>
      <c r="CM445" s="85"/>
      <c r="CN445" s="85"/>
      <c r="CO445" s="85"/>
      <c r="CP445" s="85"/>
      <c r="CQ445" s="85"/>
      <c r="CR445" s="85"/>
      <c r="CS445" s="85"/>
      <c r="CT445" s="85"/>
      <c r="CU445" s="85"/>
      <c r="CV445" s="85"/>
      <c r="CW445" s="85"/>
      <c r="CX445" s="85"/>
      <c r="CY445" s="85"/>
      <c r="CZ445" s="85"/>
      <c r="DA445" s="85"/>
      <c r="DB445" s="85"/>
      <c r="DC445" s="85"/>
      <c r="DD445" s="85"/>
    </row>
    <row r="446" spans="1:108" x14ac:dyDescent="0.3">
      <c r="B446" s="96"/>
      <c r="C446" s="96"/>
      <c r="D446" s="96"/>
      <c r="E446" s="96"/>
      <c r="G446" s="87"/>
      <c r="H446" s="87"/>
      <c r="J446" s="87"/>
      <c r="K446" s="87"/>
      <c r="L446" s="87"/>
      <c r="M446" s="87"/>
      <c r="N446" s="85"/>
      <c r="O446" s="85"/>
      <c r="P446" s="85"/>
      <c r="Q446" s="85"/>
      <c r="R446" s="85"/>
      <c r="S446" s="85"/>
      <c r="T446" s="85"/>
      <c r="U446" s="85"/>
      <c r="V446" s="85"/>
      <c r="W446" s="85"/>
      <c r="X446" s="85"/>
      <c r="Y446" s="85"/>
      <c r="Z446" s="85"/>
      <c r="AA446" s="85"/>
      <c r="AB446" s="85"/>
      <c r="AC446" s="85"/>
      <c r="AD446" s="85"/>
      <c r="AE446" s="85"/>
      <c r="AF446" s="85"/>
      <c r="AG446" s="85"/>
      <c r="AH446" s="85"/>
      <c r="AI446" s="85"/>
      <c r="AJ446" s="85"/>
      <c r="AK446" s="85"/>
      <c r="AL446" s="85"/>
      <c r="AM446" s="85"/>
      <c r="AN446" s="85"/>
      <c r="AO446" s="85"/>
      <c r="AP446" s="85"/>
      <c r="AQ446" s="85"/>
      <c r="AR446" s="85"/>
      <c r="AS446" s="85"/>
      <c r="AT446" s="85"/>
      <c r="AU446" s="85"/>
      <c r="AV446" s="85"/>
      <c r="AW446" s="85"/>
      <c r="AX446" s="85"/>
      <c r="AY446" s="85"/>
      <c r="AZ446" s="85"/>
      <c r="BA446" s="85"/>
      <c r="BB446" s="85"/>
      <c r="BC446" s="85"/>
      <c r="BD446" s="85"/>
      <c r="BE446" s="85"/>
      <c r="BF446" s="85"/>
      <c r="BG446" s="85"/>
      <c r="BH446" s="85"/>
      <c r="BI446" s="85"/>
      <c r="BJ446" s="85"/>
      <c r="BK446" s="85"/>
      <c r="BL446" s="85"/>
      <c r="BM446" s="85"/>
      <c r="BN446" s="85"/>
      <c r="BO446" s="85"/>
      <c r="BP446" s="85"/>
      <c r="BQ446" s="85"/>
      <c r="BR446" s="85"/>
      <c r="BS446" s="85"/>
      <c r="BT446" s="85"/>
      <c r="BU446" s="85"/>
      <c r="BV446" s="85"/>
      <c r="BW446" s="85"/>
      <c r="BX446" s="85"/>
      <c r="BY446" s="85"/>
      <c r="BZ446" s="85"/>
      <c r="CA446" s="85"/>
      <c r="CB446" s="85"/>
      <c r="CC446" s="85"/>
      <c r="CD446" s="85"/>
      <c r="CE446" s="85"/>
      <c r="CF446" s="85"/>
      <c r="CG446" s="85"/>
      <c r="CH446" s="85"/>
      <c r="CI446" s="85"/>
      <c r="CJ446" s="85"/>
      <c r="CK446" s="85"/>
      <c r="CL446" s="85"/>
      <c r="CM446" s="85"/>
      <c r="CN446" s="85"/>
      <c r="CO446" s="85"/>
      <c r="CP446" s="85"/>
      <c r="CQ446" s="85"/>
      <c r="CR446" s="85"/>
      <c r="CS446" s="85"/>
      <c r="CT446" s="85"/>
      <c r="CU446" s="85"/>
      <c r="CV446" s="85"/>
      <c r="CW446" s="85"/>
      <c r="CX446" s="85"/>
      <c r="CY446" s="85"/>
      <c r="CZ446" s="85"/>
      <c r="DA446" s="85"/>
      <c r="DB446" s="85"/>
      <c r="DC446" s="85"/>
      <c r="DD446" s="85"/>
    </row>
    <row r="447" spans="1:108" x14ac:dyDescent="0.3">
      <c r="B447" s="96"/>
      <c r="C447" s="96"/>
      <c r="D447" s="96"/>
      <c r="E447" s="96"/>
      <c r="G447" s="87"/>
      <c r="H447" s="87"/>
      <c r="J447" s="87"/>
      <c r="K447" s="87"/>
      <c r="L447" s="87"/>
      <c r="M447" s="87"/>
      <c r="N447" s="85"/>
      <c r="O447" s="85"/>
      <c r="P447" s="85"/>
      <c r="Q447" s="85"/>
      <c r="R447" s="85"/>
      <c r="S447" s="85"/>
      <c r="T447" s="85"/>
      <c r="U447" s="85"/>
      <c r="V447" s="85"/>
      <c r="W447" s="85"/>
      <c r="X447" s="85"/>
      <c r="Y447" s="85"/>
      <c r="Z447" s="85"/>
      <c r="AA447" s="85"/>
      <c r="AB447" s="85"/>
      <c r="AC447" s="85"/>
      <c r="AD447" s="85"/>
      <c r="AE447" s="85"/>
      <c r="AF447" s="85"/>
      <c r="AG447" s="85"/>
      <c r="AH447" s="85"/>
      <c r="AI447" s="85"/>
      <c r="AJ447" s="85"/>
      <c r="AK447" s="85"/>
      <c r="AL447" s="85"/>
      <c r="AM447" s="85"/>
      <c r="AN447" s="85"/>
      <c r="AO447" s="85"/>
      <c r="AP447" s="85"/>
      <c r="AQ447" s="85"/>
      <c r="AR447" s="85"/>
      <c r="AS447" s="85"/>
      <c r="AT447" s="85"/>
      <c r="AU447" s="85"/>
      <c r="AV447" s="85"/>
      <c r="AW447" s="85"/>
      <c r="AX447" s="85"/>
      <c r="AY447" s="85"/>
      <c r="AZ447" s="85"/>
      <c r="BA447" s="85"/>
      <c r="BB447" s="85"/>
      <c r="BC447" s="85"/>
      <c r="BD447" s="85"/>
      <c r="BE447" s="85"/>
      <c r="BF447" s="85"/>
      <c r="BG447" s="85"/>
      <c r="BH447" s="85"/>
      <c r="BI447" s="85"/>
      <c r="BJ447" s="85"/>
      <c r="BK447" s="85"/>
      <c r="BL447" s="85"/>
      <c r="BM447" s="85"/>
      <c r="BN447" s="85"/>
      <c r="BO447" s="85"/>
      <c r="BP447" s="85"/>
      <c r="BQ447" s="85"/>
      <c r="BR447" s="85"/>
      <c r="BS447" s="85"/>
      <c r="BT447" s="85"/>
      <c r="BU447" s="85"/>
      <c r="BV447" s="85"/>
      <c r="BW447" s="85"/>
      <c r="BX447" s="85"/>
      <c r="BY447" s="85"/>
      <c r="BZ447" s="85"/>
      <c r="CA447" s="85"/>
      <c r="CB447" s="85"/>
      <c r="CC447" s="85"/>
      <c r="CD447" s="85"/>
      <c r="CE447" s="85"/>
      <c r="CF447" s="85"/>
      <c r="CG447" s="85"/>
      <c r="CH447" s="85"/>
      <c r="CI447" s="85"/>
      <c r="CJ447" s="85"/>
      <c r="CK447" s="85"/>
      <c r="CL447" s="85"/>
      <c r="CM447" s="85"/>
      <c r="CN447" s="85"/>
      <c r="CO447" s="85"/>
      <c r="CP447" s="85"/>
      <c r="CQ447" s="85"/>
      <c r="CR447" s="85"/>
      <c r="CS447" s="85"/>
      <c r="CT447" s="85"/>
      <c r="CU447" s="85"/>
      <c r="CV447" s="85"/>
      <c r="CW447" s="85"/>
      <c r="CX447" s="85"/>
      <c r="CY447" s="85"/>
      <c r="CZ447" s="85"/>
      <c r="DA447" s="85"/>
      <c r="DB447" s="85"/>
      <c r="DC447" s="85"/>
      <c r="DD447" s="85"/>
    </row>
    <row r="448" spans="1:108" x14ac:dyDescent="0.3">
      <c r="B448" s="96"/>
      <c r="C448" s="96"/>
      <c r="D448" s="96"/>
      <c r="E448" s="96"/>
      <c r="G448" s="87"/>
      <c r="H448" s="87"/>
      <c r="J448" s="87"/>
      <c r="K448" s="87"/>
      <c r="L448" s="87"/>
      <c r="M448" s="87"/>
      <c r="N448" s="85"/>
      <c r="O448" s="85"/>
      <c r="P448" s="85"/>
      <c r="Q448" s="85"/>
      <c r="R448" s="85"/>
      <c r="S448" s="85"/>
      <c r="T448" s="85"/>
      <c r="U448" s="85"/>
      <c r="V448" s="85"/>
      <c r="W448" s="85"/>
      <c r="X448" s="85"/>
      <c r="Y448" s="85"/>
      <c r="Z448" s="85"/>
      <c r="AA448" s="85"/>
      <c r="AB448" s="85"/>
      <c r="AC448" s="85"/>
      <c r="AD448" s="85"/>
      <c r="AE448" s="85"/>
      <c r="AF448" s="85"/>
      <c r="AG448" s="85"/>
      <c r="AH448" s="85"/>
      <c r="AI448" s="85"/>
      <c r="AJ448" s="85"/>
      <c r="AK448" s="85"/>
      <c r="AL448" s="85"/>
      <c r="AM448" s="85"/>
      <c r="AN448" s="85"/>
      <c r="AO448" s="85"/>
      <c r="AP448" s="85"/>
      <c r="AQ448" s="85"/>
      <c r="AR448" s="85"/>
      <c r="AS448" s="85"/>
      <c r="AT448" s="85"/>
      <c r="AU448" s="85"/>
      <c r="AV448" s="85"/>
      <c r="AW448" s="85"/>
      <c r="AX448" s="85"/>
      <c r="AY448" s="85"/>
      <c r="AZ448" s="85"/>
      <c r="BA448" s="85"/>
      <c r="BB448" s="85"/>
      <c r="BC448" s="85"/>
      <c r="BD448" s="85"/>
      <c r="BE448" s="85"/>
      <c r="BF448" s="85"/>
      <c r="BG448" s="85"/>
      <c r="BH448" s="85"/>
      <c r="BI448" s="85"/>
      <c r="BJ448" s="85"/>
      <c r="BK448" s="85"/>
      <c r="BL448" s="85"/>
      <c r="BM448" s="85"/>
      <c r="BN448" s="85"/>
      <c r="BO448" s="85"/>
      <c r="BP448" s="85"/>
      <c r="BQ448" s="85"/>
      <c r="BR448" s="85"/>
      <c r="BS448" s="85"/>
      <c r="BT448" s="85"/>
      <c r="BU448" s="85"/>
      <c r="BV448" s="85"/>
      <c r="BW448" s="85"/>
      <c r="BX448" s="85"/>
      <c r="BY448" s="85"/>
      <c r="BZ448" s="85"/>
      <c r="CA448" s="85"/>
      <c r="CB448" s="85"/>
      <c r="CC448" s="85"/>
      <c r="CD448" s="85"/>
      <c r="CE448" s="85"/>
      <c r="CF448" s="85"/>
      <c r="CG448" s="85"/>
      <c r="CH448" s="85"/>
      <c r="CI448" s="85"/>
      <c r="CJ448" s="85"/>
      <c r="CK448" s="85"/>
      <c r="CL448" s="85"/>
      <c r="CM448" s="85"/>
      <c r="CN448" s="85"/>
      <c r="CO448" s="85"/>
      <c r="CP448" s="85"/>
      <c r="CQ448" s="85"/>
      <c r="CR448" s="85"/>
      <c r="CS448" s="85"/>
      <c r="CT448" s="85"/>
      <c r="CU448" s="85"/>
      <c r="CV448" s="85"/>
      <c r="CW448" s="85"/>
      <c r="CX448" s="85"/>
      <c r="CY448" s="85"/>
      <c r="CZ448" s="85"/>
      <c r="DA448" s="85"/>
      <c r="DB448" s="85"/>
      <c r="DC448" s="85"/>
      <c r="DD448" s="85"/>
    </row>
    <row r="449" spans="2:108" x14ac:dyDescent="0.3">
      <c r="B449" s="96"/>
      <c r="C449" s="96"/>
      <c r="D449" s="96"/>
      <c r="E449" s="96"/>
      <c r="G449" s="87"/>
      <c r="H449" s="87"/>
      <c r="J449" s="87"/>
      <c r="K449" s="87"/>
      <c r="L449" s="87"/>
      <c r="M449" s="87"/>
      <c r="N449" s="85"/>
      <c r="O449" s="85"/>
      <c r="P449" s="85"/>
      <c r="Q449" s="85"/>
      <c r="R449" s="85"/>
      <c r="S449" s="85"/>
      <c r="T449" s="85"/>
      <c r="U449" s="85"/>
      <c r="V449" s="85"/>
      <c r="W449" s="85"/>
      <c r="X449" s="85"/>
      <c r="Y449" s="85"/>
      <c r="Z449" s="85"/>
      <c r="AA449" s="85"/>
      <c r="AB449" s="85"/>
      <c r="AC449" s="85"/>
      <c r="AD449" s="85"/>
      <c r="AE449" s="85"/>
      <c r="AF449" s="85"/>
      <c r="AG449" s="85"/>
      <c r="AH449" s="85"/>
      <c r="AI449" s="85"/>
      <c r="AJ449" s="85"/>
      <c r="AK449" s="85"/>
      <c r="AL449" s="85"/>
      <c r="AM449" s="85"/>
      <c r="AN449" s="85"/>
      <c r="AO449" s="85"/>
      <c r="AP449" s="85"/>
      <c r="AQ449" s="85"/>
      <c r="AR449" s="85"/>
      <c r="AS449" s="85"/>
      <c r="AT449" s="85"/>
      <c r="AU449" s="85"/>
      <c r="AV449" s="85"/>
      <c r="AW449" s="85"/>
      <c r="AX449" s="85"/>
      <c r="AY449" s="85"/>
      <c r="AZ449" s="85"/>
      <c r="BA449" s="85"/>
      <c r="BB449" s="85"/>
      <c r="BC449" s="85"/>
      <c r="BD449" s="85"/>
      <c r="BE449" s="85"/>
      <c r="BF449" s="85"/>
      <c r="BG449" s="85"/>
      <c r="BH449" s="85"/>
      <c r="BI449" s="85"/>
      <c r="BJ449" s="85"/>
      <c r="BK449" s="85"/>
      <c r="BL449" s="85"/>
      <c r="BM449" s="85"/>
      <c r="BN449" s="85"/>
      <c r="BO449" s="85"/>
      <c r="BP449" s="85"/>
      <c r="BQ449" s="85"/>
      <c r="BR449" s="85"/>
      <c r="BS449" s="85"/>
      <c r="BT449" s="85"/>
      <c r="BU449" s="85"/>
      <c r="BV449" s="85"/>
      <c r="BW449" s="85"/>
      <c r="BX449" s="85"/>
      <c r="BY449" s="85"/>
      <c r="BZ449" s="85"/>
      <c r="CA449" s="85"/>
      <c r="CB449" s="85"/>
      <c r="CC449" s="85"/>
      <c r="CD449" s="85"/>
      <c r="CE449" s="85"/>
      <c r="CF449" s="85"/>
      <c r="CG449" s="85"/>
      <c r="CH449" s="85"/>
      <c r="CI449" s="85"/>
      <c r="CJ449" s="85"/>
      <c r="CK449" s="85"/>
      <c r="CL449" s="85"/>
      <c r="CM449" s="85"/>
      <c r="CN449" s="85"/>
      <c r="CO449" s="85"/>
      <c r="CP449" s="85"/>
      <c r="CQ449" s="85"/>
      <c r="CR449" s="85"/>
      <c r="CS449" s="85"/>
      <c r="CT449" s="85"/>
      <c r="CU449" s="85"/>
      <c r="CV449" s="85"/>
      <c r="CW449" s="85"/>
      <c r="CX449" s="85"/>
      <c r="CY449" s="85"/>
      <c r="CZ449" s="85"/>
      <c r="DA449" s="85"/>
      <c r="DB449" s="85"/>
      <c r="DC449" s="85"/>
      <c r="DD449" s="85"/>
    </row>
    <row r="450" spans="2:108" x14ac:dyDescent="0.3">
      <c r="B450" s="96"/>
      <c r="C450" s="96"/>
      <c r="D450" s="96"/>
      <c r="E450" s="96"/>
      <c r="G450" s="87"/>
      <c r="H450" s="87"/>
      <c r="J450" s="87"/>
      <c r="K450" s="87"/>
      <c r="L450" s="87"/>
      <c r="M450" s="87"/>
      <c r="N450" s="85"/>
      <c r="O450" s="85"/>
      <c r="P450" s="85"/>
      <c r="Q450" s="85"/>
      <c r="R450" s="85"/>
      <c r="S450" s="85"/>
      <c r="T450" s="85"/>
      <c r="U450" s="85"/>
      <c r="V450" s="85"/>
      <c r="W450" s="85"/>
      <c r="X450" s="85"/>
      <c r="Y450" s="85"/>
      <c r="Z450" s="85"/>
      <c r="AA450" s="85"/>
      <c r="AB450" s="85"/>
      <c r="AC450" s="85"/>
      <c r="AD450" s="85"/>
      <c r="AE450" s="85"/>
      <c r="AF450" s="85"/>
      <c r="AG450" s="85"/>
      <c r="AH450" s="85"/>
      <c r="AI450" s="85"/>
      <c r="AJ450" s="85"/>
      <c r="AK450" s="85"/>
      <c r="AL450" s="85"/>
      <c r="AM450" s="85"/>
      <c r="AN450" s="85"/>
      <c r="AO450" s="85"/>
      <c r="AP450" s="85"/>
      <c r="AQ450" s="85"/>
      <c r="AR450" s="85"/>
      <c r="AS450" s="85"/>
      <c r="AT450" s="85"/>
      <c r="AU450" s="85"/>
      <c r="AV450" s="85"/>
      <c r="AW450" s="85"/>
      <c r="AX450" s="85"/>
      <c r="AY450" s="85"/>
      <c r="AZ450" s="85"/>
      <c r="BA450" s="85"/>
      <c r="BB450" s="85"/>
      <c r="BC450" s="85"/>
      <c r="BD450" s="85"/>
      <c r="BE450" s="85"/>
      <c r="BF450" s="85"/>
      <c r="BG450" s="85"/>
      <c r="BH450" s="85"/>
      <c r="BI450" s="85"/>
      <c r="BJ450" s="85"/>
      <c r="BK450" s="85"/>
      <c r="BL450" s="85"/>
      <c r="BM450" s="85"/>
      <c r="BN450" s="85"/>
      <c r="BO450" s="85"/>
      <c r="BP450" s="85"/>
      <c r="BQ450" s="85"/>
      <c r="BR450" s="85"/>
      <c r="BS450" s="85"/>
      <c r="BT450" s="85"/>
      <c r="BU450" s="85"/>
      <c r="BV450" s="85"/>
      <c r="BW450" s="85"/>
      <c r="BX450" s="85"/>
      <c r="BY450" s="85"/>
      <c r="BZ450" s="85"/>
      <c r="CA450" s="85"/>
      <c r="CB450" s="85"/>
      <c r="CC450" s="85"/>
      <c r="CD450" s="85"/>
      <c r="CE450" s="85"/>
      <c r="CF450" s="85"/>
      <c r="CG450" s="85"/>
      <c r="CH450" s="85"/>
      <c r="CI450" s="85"/>
      <c r="CJ450" s="85"/>
      <c r="CK450" s="85"/>
      <c r="CL450" s="85"/>
      <c r="CM450" s="85"/>
      <c r="CN450" s="85"/>
      <c r="CO450" s="85"/>
      <c r="CP450" s="85"/>
      <c r="CQ450" s="85"/>
      <c r="CR450" s="85"/>
      <c r="CS450" s="85"/>
      <c r="CT450" s="85"/>
      <c r="CU450" s="85"/>
      <c r="CV450" s="85"/>
      <c r="CW450" s="85"/>
      <c r="CX450" s="85"/>
      <c r="CY450" s="85"/>
      <c r="CZ450" s="85"/>
      <c r="DA450" s="85"/>
      <c r="DB450" s="85"/>
      <c r="DC450" s="85"/>
      <c r="DD450" s="85"/>
    </row>
    <row r="451" spans="2:108" x14ac:dyDescent="0.3">
      <c r="B451" s="96"/>
      <c r="C451" s="96"/>
      <c r="D451" s="96"/>
      <c r="E451" s="96"/>
      <c r="G451" s="87"/>
      <c r="H451" s="87"/>
      <c r="J451" s="87"/>
      <c r="K451" s="87"/>
      <c r="L451" s="87"/>
      <c r="M451" s="87"/>
      <c r="N451" s="85"/>
      <c r="O451" s="85"/>
      <c r="P451" s="85"/>
      <c r="Q451" s="85"/>
      <c r="R451" s="85"/>
      <c r="S451" s="85"/>
      <c r="T451" s="85"/>
      <c r="U451" s="85"/>
      <c r="V451" s="85"/>
      <c r="W451" s="85"/>
      <c r="X451" s="85"/>
      <c r="Y451" s="85"/>
      <c r="Z451" s="85"/>
      <c r="AA451" s="85"/>
      <c r="AB451" s="85"/>
      <c r="AC451" s="85"/>
      <c r="AD451" s="85"/>
      <c r="AE451" s="85"/>
      <c r="AF451" s="85"/>
      <c r="AG451" s="85"/>
      <c r="AH451" s="85"/>
      <c r="AI451" s="85"/>
      <c r="AJ451" s="85"/>
      <c r="AK451" s="85"/>
      <c r="AL451" s="85"/>
      <c r="AM451" s="85"/>
      <c r="AN451" s="85"/>
      <c r="AO451" s="85"/>
      <c r="AP451" s="85"/>
      <c r="AQ451" s="85"/>
      <c r="AR451" s="85"/>
      <c r="AS451" s="85"/>
      <c r="AT451" s="85"/>
      <c r="AU451" s="85"/>
      <c r="AV451" s="85"/>
      <c r="AW451" s="85"/>
      <c r="AX451" s="85"/>
      <c r="AY451" s="85"/>
      <c r="AZ451" s="85"/>
      <c r="BA451" s="85"/>
      <c r="BB451" s="85"/>
      <c r="BC451" s="85"/>
      <c r="BD451" s="85"/>
      <c r="BE451" s="85"/>
      <c r="BF451" s="85"/>
      <c r="BG451" s="85"/>
      <c r="BH451" s="85"/>
      <c r="BI451" s="85"/>
      <c r="BJ451" s="85"/>
      <c r="BK451" s="85"/>
      <c r="BL451" s="85"/>
      <c r="BM451" s="85"/>
      <c r="BN451" s="85"/>
      <c r="BO451" s="85"/>
      <c r="BP451" s="85"/>
      <c r="BQ451" s="85"/>
      <c r="BR451" s="85"/>
      <c r="BS451" s="85"/>
      <c r="BT451" s="85"/>
      <c r="BU451" s="85"/>
      <c r="BV451" s="85"/>
      <c r="BW451" s="85"/>
      <c r="BX451" s="85"/>
      <c r="BY451" s="85"/>
      <c r="BZ451" s="85"/>
      <c r="CA451" s="85"/>
      <c r="CB451" s="85"/>
      <c r="CC451" s="85"/>
      <c r="CD451" s="85"/>
      <c r="CE451" s="85"/>
      <c r="CF451" s="85"/>
      <c r="CG451" s="85"/>
      <c r="CH451" s="85"/>
      <c r="CI451" s="85"/>
      <c r="CJ451" s="85"/>
      <c r="CK451" s="85"/>
      <c r="CL451" s="85"/>
      <c r="CM451" s="85"/>
      <c r="CN451" s="85"/>
      <c r="CO451" s="85"/>
      <c r="CP451" s="85"/>
      <c r="CQ451" s="85"/>
      <c r="CR451" s="85"/>
      <c r="CS451" s="85"/>
      <c r="CT451" s="85"/>
      <c r="CU451" s="85"/>
      <c r="CV451" s="85"/>
      <c r="CW451" s="85"/>
      <c r="CX451" s="85"/>
      <c r="CY451" s="85"/>
      <c r="CZ451" s="85"/>
      <c r="DA451" s="85"/>
      <c r="DB451" s="85"/>
      <c r="DC451" s="85"/>
      <c r="DD451" s="85"/>
    </row>
    <row r="452" spans="2:108" x14ac:dyDescent="0.3">
      <c r="B452" s="96"/>
      <c r="C452" s="96"/>
      <c r="D452" s="96"/>
      <c r="E452" s="96"/>
      <c r="G452" s="87"/>
      <c r="H452" s="87"/>
      <c r="J452" s="87"/>
      <c r="K452" s="87"/>
      <c r="L452" s="87"/>
      <c r="M452" s="87"/>
      <c r="N452" s="85"/>
      <c r="O452" s="85"/>
      <c r="P452" s="85"/>
      <c r="Q452" s="85"/>
      <c r="R452" s="85"/>
      <c r="S452" s="85"/>
      <c r="T452" s="85"/>
      <c r="U452" s="85"/>
      <c r="V452" s="85"/>
      <c r="W452" s="85"/>
      <c r="X452" s="85"/>
      <c r="Y452" s="85"/>
      <c r="Z452" s="85"/>
      <c r="AA452" s="85"/>
      <c r="AB452" s="85"/>
      <c r="AC452" s="85"/>
      <c r="AD452" s="85"/>
      <c r="AE452" s="85"/>
      <c r="AF452" s="85"/>
      <c r="AG452" s="85"/>
      <c r="AH452" s="85"/>
      <c r="AI452" s="85"/>
      <c r="AJ452" s="85"/>
      <c r="AK452" s="85"/>
      <c r="AL452" s="85"/>
      <c r="AM452" s="85"/>
      <c r="AN452" s="85"/>
      <c r="AO452" s="85"/>
      <c r="AP452" s="85"/>
      <c r="AQ452" s="85"/>
      <c r="AR452" s="85"/>
      <c r="AS452" s="85"/>
      <c r="AT452" s="85"/>
      <c r="AU452" s="85"/>
      <c r="AV452" s="85"/>
      <c r="AW452" s="85"/>
      <c r="AX452" s="85"/>
      <c r="AY452" s="85"/>
      <c r="AZ452" s="85"/>
      <c r="BA452" s="85"/>
      <c r="BB452" s="85"/>
      <c r="BC452" s="85"/>
      <c r="BD452" s="85"/>
      <c r="BE452" s="85"/>
      <c r="BF452" s="85"/>
      <c r="BG452" s="85"/>
      <c r="BH452" s="85"/>
      <c r="BI452" s="85"/>
      <c r="BJ452" s="85"/>
      <c r="BK452" s="85"/>
      <c r="BL452" s="85"/>
      <c r="BM452" s="85"/>
      <c r="BN452" s="85"/>
      <c r="BO452" s="85"/>
      <c r="BP452" s="85"/>
      <c r="BQ452" s="85"/>
      <c r="BR452" s="85"/>
      <c r="BS452" s="85"/>
      <c r="BT452" s="85"/>
      <c r="BU452" s="85"/>
      <c r="BV452" s="85"/>
      <c r="BW452" s="85"/>
      <c r="BX452" s="85"/>
      <c r="BY452" s="85"/>
      <c r="BZ452" s="85"/>
      <c r="CA452" s="85"/>
      <c r="CB452" s="85"/>
      <c r="CC452" s="85"/>
      <c r="CD452" s="85"/>
      <c r="CE452" s="85"/>
      <c r="CF452" s="85"/>
      <c r="CG452" s="85"/>
      <c r="CH452" s="85"/>
      <c r="CI452" s="85"/>
      <c r="CJ452" s="85"/>
      <c r="CK452" s="85"/>
      <c r="CL452" s="85"/>
      <c r="CM452" s="85"/>
      <c r="CN452" s="85"/>
      <c r="CO452" s="85"/>
      <c r="CP452" s="85"/>
      <c r="CQ452" s="85"/>
      <c r="CR452" s="85"/>
      <c r="CS452" s="85"/>
      <c r="CT452" s="85"/>
      <c r="CU452" s="85"/>
      <c r="CV452" s="85"/>
      <c r="CW452" s="85"/>
      <c r="CX452" s="85"/>
      <c r="CY452" s="85"/>
      <c r="CZ452" s="85"/>
      <c r="DA452" s="85"/>
      <c r="DB452" s="85"/>
      <c r="DC452" s="85"/>
      <c r="DD452" s="85"/>
    </row>
    <row r="453" spans="2:108" x14ac:dyDescent="0.3">
      <c r="B453" s="96"/>
      <c r="C453" s="96"/>
      <c r="D453" s="96"/>
      <c r="E453" s="96"/>
      <c r="N453" s="85"/>
      <c r="O453" s="85"/>
      <c r="P453" s="85"/>
      <c r="Q453" s="85"/>
      <c r="R453" s="85"/>
      <c r="S453" s="85"/>
      <c r="T453" s="85"/>
      <c r="U453" s="85"/>
      <c r="V453" s="85"/>
      <c r="W453" s="85"/>
      <c r="X453" s="85"/>
      <c r="Y453" s="85"/>
      <c r="Z453" s="85"/>
      <c r="AA453" s="85"/>
      <c r="AB453" s="85"/>
      <c r="AC453" s="85"/>
      <c r="AD453" s="85"/>
      <c r="AE453" s="85"/>
      <c r="AF453" s="85"/>
      <c r="AG453" s="85"/>
      <c r="AH453" s="85"/>
      <c r="AI453" s="85"/>
      <c r="AJ453" s="85"/>
      <c r="AK453" s="85"/>
      <c r="AL453" s="85"/>
      <c r="AM453" s="85"/>
      <c r="AN453" s="85"/>
      <c r="AO453" s="85"/>
      <c r="AP453" s="85"/>
      <c r="AQ453" s="85"/>
      <c r="AR453" s="85"/>
      <c r="AS453" s="85"/>
      <c r="AT453" s="85"/>
      <c r="AU453" s="85"/>
      <c r="AV453" s="85"/>
      <c r="AW453" s="85"/>
      <c r="AX453" s="85"/>
      <c r="AY453" s="85"/>
      <c r="AZ453" s="85"/>
      <c r="BA453" s="85"/>
      <c r="BB453" s="85"/>
      <c r="BC453" s="85"/>
      <c r="BD453" s="85"/>
      <c r="BE453" s="85"/>
      <c r="BF453" s="85"/>
      <c r="BG453" s="85"/>
      <c r="BH453" s="85"/>
      <c r="BI453" s="85"/>
      <c r="BJ453" s="85"/>
      <c r="BK453" s="85"/>
      <c r="BL453" s="85"/>
      <c r="BM453" s="85"/>
      <c r="BN453" s="85"/>
      <c r="BO453" s="85"/>
      <c r="BP453" s="85"/>
      <c r="BQ453" s="85"/>
      <c r="BR453" s="85"/>
      <c r="BS453" s="85"/>
      <c r="BT453" s="85"/>
      <c r="BU453" s="85"/>
      <c r="BV453" s="85"/>
      <c r="BW453" s="85"/>
      <c r="BX453" s="85"/>
      <c r="BY453" s="85"/>
      <c r="BZ453" s="85"/>
      <c r="CA453" s="85"/>
      <c r="CB453" s="85"/>
      <c r="CC453" s="85"/>
      <c r="CD453" s="85"/>
      <c r="CE453" s="85"/>
      <c r="CF453" s="85"/>
      <c r="CG453" s="85"/>
      <c r="CH453" s="85"/>
      <c r="CI453" s="85"/>
      <c r="CJ453" s="85"/>
      <c r="CK453" s="85"/>
      <c r="CL453" s="85"/>
      <c r="CM453" s="85"/>
      <c r="CN453" s="85"/>
      <c r="CO453" s="85"/>
      <c r="CP453" s="85"/>
      <c r="CQ453" s="85"/>
      <c r="CR453" s="85"/>
      <c r="CS453" s="85"/>
      <c r="CT453" s="85"/>
      <c r="CU453" s="85"/>
      <c r="CV453" s="85"/>
      <c r="CW453" s="85"/>
      <c r="CX453" s="85"/>
      <c r="CY453" s="85"/>
      <c r="CZ453" s="85"/>
      <c r="DA453" s="85"/>
      <c r="DB453" s="85"/>
      <c r="DC453" s="85"/>
      <c r="DD453" s="85"/>
    </row>
    <row r="454" spans="2:108" x14ac:dyDescent="0.3">
      <c r="B454" s="96"/>
      <c r="C454" s="96"/>
      <c r="D454" s="96"/>
      <c r="E454" s="96"/>
      <c r="N454" s="85"/>
      <c r="O454" s="85"/>
      <c r="P454" s="85"/>
      <c r="Q454" s="85"/>
      <c r="R454" s="85"/>
      <c r="S454" s="85"/>
      <c r="T454" s="85"/>
      <c r="U454" s="85"/>
      <c r="V454" s="85"/>
      <c r="W454" s="85"/>
      <c r="X454" s="85"/>
      <c r="Y454" s="85"/>
      <c r="Z454" s="85"/>
      <c r="AA454" s="85"/>
      <c r="AB454" s="85"/>
      <c r="AC454" s="85"/>
      <c r="AD454" s="85"/>
      <c r="AE454" s="85"/>
      <c r="AF454" s="85"/>
      <c r="AG454" s="85"/>
      <c r="AH454" s="85"/>
      <c r="AI454" s="85"/>
      <c r="AJ454" s="85"/>
      <c r="AK454" s="85"/>
      <c r="AL454" s="85"/>
      <c r="AM454" s="85"/>
      <c r="AN454" s="85"/>
      <c r="AO454" s="85"/>
      <c r="AP454" s="85"/>
      <c r="AQ454" s="85"/>
      <c r="AR454" s="85"/>
      <c r="AS454" s="85"/>
      <c r="AT454" s="85"/>
      <c r="AU454" s="85"/>
      <c r="AV454" s="85"/>
      <c r="AW454" s="85"/>
      <c r="AX454" s="85"/>
      <c r="AY454" s="85"/>
      <c r="AZ454" s="85"/>
      <c r="BA454" s="85"/>
      <c r="BB454" s="85"/>
      <c r="BC454" s="85"/>
      <c r="BD454" s="85"/>
      <c r="BE454" s="85"/>
      <c r="BF454" s="85"/>
      <c r="BG454" s="85"/>
      <c r="BH454" s="85"/>
      <c r="BI454" s="85"/>
      <c r="BJ454" s="85"/>
      <c r="BK454" s="85"/>
      <c r="BL454" s="85"/>
      <c r="BM454" s="85"/>
      <c r="BN454" s="85"/>
      <c r="BO454" s="85"/>
      <c r="BP454" s="85"/>
      <c r="BQ454" s="85"/>
      <c r="BR454" s="85"/>
      <c r="BS454" s="85"/>
      <c r="BT454" s="85"/>
      <c r="BU454" s="85"/>
      <c r="BV454" s="85"/>
      <c r="BW454" s="85"/>
      <c r="BX454" s="85"/>
      <c r="BY454" s="85"/>
      <c r="BZ454" s="85"/>
      <c r="CA454" s="85"/>
      <c r="CB454" s="85"/>
      <c r="CC454" s="85"/>
      <c r="CD454" s="85"/>
      <c r="CE454" s="85"/>
      <c r="CF454" s="85"/>
      <c r="CG454" s="85"/>
      <c r="CH454" s="85"/>
      <c r="CI454" s="85"/>
      <c r="CJ454" s="85"/>
      <c r="CK454" s="85"/>
      <c r="CL454" s="85"/>
      <c r="CM454" s="85"/>
      <c r="CN454" s="85"/>
      <c r="CO454" s="85"/>
      <c r="CP454" s="85"/>
      <c r="CQ454" s="85"/>
      <c r="CR454" s="85"/>
      <c r="CS454" s="85"/>
      <c r="CT454" s="85"/>
      <c r="CU454" s="85"/>
      <c r="CV454" s="85"/>
      <c r="CW454" s="85"/>
      <c r="CX454" s="85"/>
      <c r="CY454" s="85"/>
      <c r="CZ454" s="85"/>
      <c r="DA454" s="85"/>
      <c r="DB454" s="85"/>
      <c r="DC454" s="85"/>
      <c r="DD454" s="85"/>
    </row>
    <row r="455" spans="2:108" x14ac:dyDescent="0.3">
      <c r="B455" s="96"/>
      <c r="C455" s="96"/>
      <c r="D455" s="96"/>
      <c r="E455" s="96"/>
      <c r="N455" s="85"/>
      <c r="O455" s="85"/>
      <c r="P455" s="85"/>
      <c r="Q455" s="85"/>
      <c r="R455" s="85"/>
      <c r="S455" s="85"/>
      <c r="T455" s="85"/>
      <c r="U455" s="85"/>
      <c r="V455" s="85"/>
      <c r="W455" s="85"/>
      <c r="X455" s="85"/>
      <c r="Y455" s="85"/>
      <c r="Z455" s="85"/>
      <c r="AA455" s="85"/>
      <c r="AB455" s="85"/>
      <c r="AC455" s="85"/>
      <c r="AD455" s="85"/>
      <c r="AE455" s="85"/>
      <c r="AF455" s="85"/>
      <c r="AG455" s="85"/>
      <c r="AH455" s="85"/>
      <c r="AI455" s="85"/>
      <c r="AJ455" s="85"/>
      <c r="AK455" s="85"/>
      <c r="AL455" s="85"/>
      <c r="AM455" s="85"/>
      <c r="AN455" s="85"/>
      <c r="AO455" s="85"/>
      <c r="AP455" s="85"/>
      <c r="AQ455" s="85"/>
      <c r="AR455" s="85"/>
      <c r="AS455" s="85"/>
      <c r="AT455" s="85"/>
      <c r="AU455" s="85"/>
      <c r="AV455" s="85"/>
      <c r="AW455" s="85"/>
      <c r="AX455" s="85"/>
      <c r="AY455" s="85"/>
      <c r="AZ455" s="85"/>
      <c r="BA455" s="85"/>
      <c r="BB455" s="85"/>
      <c r="BC455" s="85"/>
      <c r="BD455" s="85"/>
      <c r="BE455" s="85"/>
      <c r="BF455" s="85"/>
      <c r="BG455" s="85"/>
      <c r="BH455" s="85"/>
      <c r="BI455" s="85"/>
      <c r="BJ455" s="85"/>
      <c r="BK455" s="85"/>
      <c r="BL455" s="85"/>
      <c r="BM455" s="85"/>
      <c r="BN455" s="85"/>
      <c r="BO455" s="85"/>
      <c r="BP455" s="85"/>
      <c r="BQ455" s="85"/>
      <c r="BR455" s="85"/>
      <c r="BS455" s="85"/>
      <c r="BT455" s="85"/>
      <c r="BU455" s="85"/>
      <c r="BV455" s="85"/>
      <c r="BW455" s="85"/>
      <c r="BX455" s="85"/>
      <c r="BY455" s="85"/>
      <c r="BZ455" s="85"/>
      <c r="CA455" s="85"/>
      <c r="CB455" s="85"/>
      <c r="CC455" s="85"/>
      <c r="CD455" s="85"/>
      <c r="CE455" s="85"/>
      <c r="CF455" s="85"/>
      <c r="CG455" s="85"/>
      <c r="CH455" s="85"/>
      <c r="CI455" s="85"/>
      <c r="CJ455" s="85"/>
      <c r="CK455" s="85"/>
      <c r="CL455" s="85"/>
      <c r="CM455" s="85"/>
      <c r="CN455" s="85"/>
      <c r="CO455" s="85"/>
      <c r="CP455" s="85"/>
      <c r="CQ455" s="85"/>
      <c r="CR455" s="85"/>
      <c r="CS455" s="85"/>
      <c r="CT455" s="85"/>
      <c r="CU455" s="85"/>
      <c r="CV455" s="85"/>
      <c r="CW455" s="85"/>
      <c r="CX455" s="85"/>
      <c r="CY455" s="85"/>
      <c r="CZ455" s="85"/>
      <c r="DA455" s="85"/>
      <c r="DB455" s="85"/>
      <c r="DC455" s="85"/>
      <c r="DD455" s="85"/>
    </row>
    <row r="456" spans="2:108" x14ac:dyDescent="0.3">
      <c r="B456" s="96"/>
      <c r="C456" s="96"/>
      <c r="D456" s="96"/>
      <c r="E456" s="96"/>
      <c r="N456" s="85"/>
      <c r="O456" s="85"/>
      <c r="P456" s="85"/>
      <c r="Q456" s="85"/>
      <c r="R456" s="85"/>
      <c r="S456" s="85"/>
      <c r="T456" s="85"/>
      <c r="U456" s="85"/>
      <c r="V456" s="85"/>
      <c r="W456" s="85"/>
      <c r="X456" s="85"/>
      <c r="Y456" s="85"/>
      <c r="Z456" s="85"/>
      <c r="AA456" s="85"/>
      <c r="AB456" s="85"/>
      <c r="AC456" s="85"/>
      <c r="AD456" s="85"/>
      <c r="AE456" s="85"/>
      <c r="AF456" s="85"/>
      <c r="AG456" s="85"/>
      <c r="AH456" s="85"/>
      <c r="AI456" s="85"/>
      <c r="AJ456" s="85"/>
      <c r="AK456" s="85"/>
      <c r="AL456" s="85"/>
      <c r="AM456" s="85"/>
      <c r="AN456" s="85"/>
      <c r="AO456" s="85"/>
      <c r="AP456" s="85"/>
      <c r="AQ456" s="85"/>
      <c r="AR456" s="85"/>
      <c r="AS456" s="85"/>
      <c r="AT456" s="85"/>
      <c r="AU456" s="85"/>
      <c r="AV456" s="85"/>
      <c r="AW456" s="85"/>
      <c r="AX456" s="85"/>
      <c r="AY456" s="85"/>
      <c r="AZ456" s="85"/>
      <c r="BA456" s="85"/>
      <c r="BB456" s="85"/>
      <c r="BC456" s="85"/>
      <c r="BD456" s="85"/>
      <c r="BE456" s="85"/>
      <c r="BF456" s="85"/>
      <c r="BG456" s="85"/>
      <c r="BH456" s="85"/>
      <c r="BI456" s="85"/>
      <c r="BJ456" s="85"/>
      <c r="BK456" s="85"/>
      <c r="BL456" s="85"/>
      <c r="BM456" s="85"/>
      <c r="BN456" s="85"/>
      <c r="BO456" s="85"/>
      <c r="BP456" s="85"/>
      <c r="BQ456" s="85"/>
      <c r="BR456" s="85"/>
      <c r="BS456" s="85"/>
      <c r="BT456" s="85"/>
      <c r="BU456" s="85"/>
      <c r="BV456" s="85"/>
      <c r="BW456" s="85"/>
      <c r="BX456" s="85"/>
      <c r="BY456" s="85"/>
      <c r="BZ456" s="85"/>
      <c r="CA456" s="85"/>
      <c r="CB456" s="85"/>
      <c r="CC456" s="85"/>
      <c r="CD456" s="85"/>
      <c r="CE456" s="85"/>
      <c r="CF456" s="85"/>
      <c r="CG456" s="85"/>
      <c r="CH456" s="85"/>
      <c r="CI456" s="85"/>
      <c r="CJ456" s="85"/>
      <c r="CK456" s="85"/>
      <c r="CL456" s="85"/>
      <c r="CM456" s="85"/>
      <c r="CN456" s="85"/>
      <c r="CO456" s="85"/>
      <c r="CP456" s="85"/>
      <c r="CQ456" s="85"/>
      <c r="CR456" s="85"/>
      <c r="CS456" s="85"/>
      <c r="CT456" s="85"/>
      <c r="CU456" s="85"/>
      <c r="CV456" s="85"/>
      <c r="CW456" s="85"/>
      <c r="CX456" s="85"/>
      <c r="CY456" s="85"/>
      <c r="CZ456" s="85"/>
      <c r="DA456" s="85"/>
      <c r="DB456" s="85"/>
      <c r="DC456" s="85"/>
      <c r="DD456" s="85"/>
    </row>
    <row r="457" spans="2:108" x14ac:dyDescent="0.3">
      <c r="B457" s="96"/>
      <c r="C457" s="96"/>
      <c r="D457" s="96"/>
      <c r="E457" s="96"/>
      <c r="N457" s="85"/>
      <c r="O457" s="85"/>
      <c r="P457" s="85"/>
      <c r="Q457" s="85"/>
      <c r="R457" s="85"/>
      <c r="S457" s="85"/>
      <c r="T457" s="85"/>
      <c r="U457" s="85"/>
      <c r="V457" s="85"/>
      <c r="W457" s="85"/>
      <c r="X457" s="85"/>
      <c r="Y457" s="85"/>
      <c r="Z457" s="85"/>
      <c r="AA457" s="85"/>
      <c r="AB457" s="85"/>
      <c r="AC457" s="85"/>
      <c r="AD457" s="85"/>
      <c r="AE457" s="85"/>
      <c r="AF457" s="85"/>
      <c r="AG457" s="85"/>
      <c r="AH457" s="85"/>
      <c r="AI457" s="85"/>
      <c r="AJ457" s="85"/>
      <c r="AK457" s="85"/>
      <c r="AL457" s="85"/>
      <c r="AM457" s="85"/>
      <c r="AN457" s="85"/>
      <c r="AO457" s="85"/>
      <c r="AP457" s="85"/>
      <c r="AQ457" s="85"/>
      <c r="AR457" s="85"/>
      <c r="AS457" s="85"/>
      <c r="AT457" s="85"/>
      <c r="AU457" s="85"/>
      <c r="AV457" s="85"/>
      <c r="AW457" s="85"/>
      <c r="AX457" s="85"/>
      <c r="AY457" s="85"/>
      <c r="AZ457" s="85"/>
      <c r="BA457" s="85"/>
      <c r="BB457" s="85"/>
      <c r="BC457" s="85"/>
      <c r="BD457" s="85"/>
      <c r="BE457" s="85"/>
      <c r="BF457" s="85"/>
      <c r="BG457" s="85"/>
      <c r="BH457" s="85"/>
      <c r="BI457" s="85"/>
      <c r="BJ457" s="85"/>
      <c r="BK457" s="85"/>
      <c r="BL457" s="85"/>
      <c r="BM457" s="85"/>
      <c r="BN457" s="85"/>
      <c r="BO457" s="85"/>
      <c r="BP457" s="85"/>
      <c r="BQ457" s="85"/>
      <c r="BR457" s="85"/>
      <c r="BS457" s="85"/>
      <c r="BT457" s="85"/>
      <c r="BU457" s="85"/>
      <c r="BV457" s="85"/>
      <c r="BW457" s="85"/>
      <c r="BX457" s="85"/>
      <c r="BY457" s="85"/>
      <c r="BZ457" s="85"/>
      <c r="CA457" s="85"/>
      <c r="CB457" s="85"/>
      <c r="CC457" s="85"/>
      <c r="CD457" s="85"/>
      <c r="CE457" s="85"/>
      <c r="CF457" s="85"/>
      <c r="CG457" s="85"/>
      <c r="CH457" s="85"/>
      <c r="CI457" s="85"/>
      <c r="CJ457" s="85"/>
      <c r="CK457" s="85"/>
      <c r="CL457" s="85"/>
      <c r="CM457" s="85"/>
      <c r="CN457" s="85"/>
      <c r="CO457" s="85"/>
      <c r="CP457" s="85"/>
      <c r="CQ457" s="85"/>
      <c r="CR457" s="85"/>
      <c r="CS457" s="85"/>
      <c r="CT457" s="85"/>
      <c r="CU457" s="85"/>
      <c r="CV457" s="85"/>
      <c r="CW457" s="85"/>
      <c r="CX457" s="85"/>
      <c r="CY457" s="85"/>
      <c r="CZ457" s="85"/>
      <c r="DA457" s="85"/>
      <c r="DB457" s="85"/>
      <c r="DC457" s="85"/>
      <c r="DD457" s="85"/>
    </row>
    <row r="458" spans="2:108" x14ac:dyDescent="0.3">
      <c r="B458" s="96"/>
      <c r="C458" s="96"/>
      <c r="D458" s="96"/>
      <c r="E458" s="96"/>
      <c r="N458" s="85"/>
      <c r="O458" s="85"/>
      <c r="P458" s="85"/>
      <c r="Q458" s="85"/>
      <c r="R458" s="85"/>
      <c r="S458" s="85"/>
      <c r="T458" s="85"/>
      <c r="U458" s="85"/>
      <c r="V458" s="85"/>
      <c r="W458" s="85"/>
      <c r="X458" s="85"/>
      <c r="Y458" s="85"/>
      <c r="Z458" s="85"/>
      <c r="AA458" s="85"/>
      <c r="AB458" s="85"/>
      <c r="AC458" s="85"/>
      <c r="AD458" s="85"/>
      <c r="AE458" s="85"/>
      <c r="AF458" s="85"/>
      <c r="AG458" s="85"/>
      <c r="AH458" s="85"/>
      <c r="AI458" s="85"/>
      <c r="AJ458" s="85"/>
      <c r="AK458" s="85"/>
      <c r="AL458" s="85"/>
      <c r="AM458" s="85"/>
      <c r="AN458" s="85"/>
      <c r="AO458" s="85"/>
      <c r="AP458" s="85"/>
      <c r="AQ458" s="85"/>
      <c r="AR458" s="85"/>
      <c r="AS458" s="85"/>
      <c r="AT458" s="85"/>
      <c r="AU458" s="85"/>
      <c r="AV458" s="85"/>
      <c r="AW458" s="85"/>
      <c r="AX458" s="85"/>
      <c r="AY458" s="85"/>
      <c r="AZ458" s="85"/>
      <c r="BA458" s="85"/>
      <c r="BB458" s="85"/>
      <c r="BC458" s="85"/>
      <c r="BD458" s="85"/>
      <c r="BE458" s="85"/>
      <c r="BF458" s="85"/>
      <c r="BG458" s="85"/>
      <c r="BH458" s="85"/>
      <c r="BI458" s="85"/>
      <c r="BJ458" s="85"/>
      <c r="BK458" s="85"/>
      <c r="BL458" s="85"/>
      <c r="BM458" s="85"/>
      <c r="BN458" s="85"/>
      <c r="BO458" s="85"/>
      <c r="BP458" s="85"/>
      <c r="BQ458" s="85"/>
      <c r="BR458" s="85"/>
      <c r="BS458" s="85"/>
      <c r="BT458" s="85"/>
      <c r="BU458" s="85"/>
      <c r="BV458" s="85"/>
      <c r="BW458" s="85"/>
      <c r="BX458" s="85"/>
      <c r="BY458" s="85"/>
      <c r="BZ458" s="85"/>
      <c r="CA458" s="85"/>
      <c r="CB458" s="85"/>
      <c r="CC458" s="85"/>
      <c r="CD458" s="85"/>
      <c r="CE458" s="85"/>
      <c r="CF458" s="85"/>
      <c r="CG458" s="85"/>
      <c r="CH458" s="85"/>
      <c r="CI458" s="85"/>
      <c r="CJ458" s="85"/>
      <c r="CK458" s="85"/>
      <c r="CL458" s="85"/>
      <c r="CM458" s="85"/>
      <c r="CN458" s="85"/>
      <c r="CO458" s="85"/>
      <c r="CP458" s="85"/>
      <c r="CQ458" s="85"/>
      <c r="CR458" s="85"/>
      <c r="CS458" s="85"/>
      <c r="CT458" s="85"/>
      <c r="CU458" s="85"/>
      <c r="CV458" s="85"/>
      <c r="CW458" s="85"/>
      <c r="CX458" s="85"/>
      <c r="CY458" s="85"/>
      <c r="CZ458" s="85"/>
      <c r="DA458" s="85"/>
      <c r="DB458" s="85"/>
      <c r="DC458" s="85"/>
      <c r="DD458" s="85"/>
    </row>
    <row r="459" spans="2:108" x14ac:dyDescent="0.3">
      <c r="B459" s="96"/>
      <c r="C459" s="96"/>
      <c r="D459" s="96"/>
      <c r="E459" s="96"/>
      <c r="N459" s="85"/>
      <c r="O459" s="85"/>
      <c r="P459" s="85"/>
      <c r="Q459" s="85"/>
      <c r="R459" s="85"/>
      <c r="S459" s="85"/>
      <c r="T459" s="85"/>
      <c r="U459" s="85"/>
      <c r="V459" s="85"/>
      <c r="W459" s="85"/>
      <c r="X459" s="85"/>
      <c r="Y459" s="85"/>
      <c r="Z459" s="85"/>
      <c r="AA459" s="85"/>
      <c r="AB459" s="85"/>
      <c r="AC459" s="85"/>
      <c r="AD459" s="85"/>
      <c r="AE459" s="85"/>
      <c r="AF459" s="85"/>
      <c r="AG459" s="85"/>
      <c r="AH459" s="85"/>
      <c r="AI459" s="85"/>
      <c r="AJ459" s="85"/>
      <c r="AK459" s="85"/>
      <c r="AL459" s="85"/>
      <c r="AM459" s="85"/>
      <c r="AN459" s="85"/>
      <c r="AO459" s="85"/>
      <c r="AP459" s="85"/>
      <c r="AQ459" s="85"/>
      <c r="AR459" s="85"/>
      <c r="AS459" s="85"/>
      <c r="AT459" s="85"/>
      <c r="AU459" s="85"/>
      <c r="AV459" s="85"/>
      <c r="AW459" s="85"/>
      <c r="AX459" s="85"/>
      <c r="AY459" s="85"/>
      <c r="AZ459" s="85"/>
      <c r="BA459" s="85"/>
      <c r="BB459" s="85"/>
      <c r="BC459" s="85"/>
      <c r="BD459" s="85"/>
      <c r="BE459" s="85"/>
      <c r="BF459" s="85"/>
      <c r="BG459" s="85"/>
      <c r="BH459" s="85"/>
      <c r="BI459" s="85"/>
      <c r="BJ459" s="85"/>
      <c r="BK459" s="85"/>
      <c r="BL459" s="85"/>
      <c r="BM459" s="85"/>
      <c r="BN459" s="85"/>
      <c r="BO459" s="85"/>
      <c r="BP459" s="85"/>
      <c r="BQ459" s="85"/>
      <c r="BR459" s="85"/>
      <c r="BS459" s="85"/>
      <c r="BT459" s="85"/>
      <c r="BU459" s="85"/>
      <c r="BV459" s="85"/>
      <c r="BW459" s="85"/>
      <c r="BX459" s="85"/>
      <c r="BY459" s="85"/>
      <c r="BZ459" s="85"/>
      <c r="CA459" s="85"/>
      <c r="CB459" s="85"/>
      <c r="CC459" s="85"/>
      <c r="CD459" s="85"/>
      <c r="CE459" s="85"/>
      <c r="CF459" s="85"/>
      <c r="CG459" s="85"/>
      <c r="CH459" s="85"/>
      <c r="CI459" s="85"/>
      <c r="CJ459" s="85"/>
      <c r="CK459" s="85"/>
      <c r="CL459" s="85"/>
      <c r="CM459" s="85"/>
      <c r="CN459" s="85"/>
      <c r="CO459" s="85"/>
      <c r="CP459" s="85"/>
      <c r="CQ459" s="85"/>
      <c r="CR459" s="85"/>
      <c r="CS459" s="85"/>
      <c r="CT459" s="85"/>
      <c r="CU459" s="85"/>
      <c r="CV459" s="85"/>
      <c r="CW459" s="85"/>
      <c r="CX459" s="85"/>
      <c r="CY459" s="85"/>
      <c r="CZ459" s="85"/>
      <c r="DA459" s="85"/>
      <c r="DB459" s="85"/>
      <c r="DC459" s="85"/>
      <c r="DD459" s="85"/>
    </row>
    <row r="460" spans="2:108" x14ac:dyDescent="0.3">
      <c r="B460" s="96"/>
      <c r="C460" s="96"/>
      <c r="D460" s="96"/>
      <c r="E460" s="96"/>
      <c r="N460" s="85"/>
      <c r="O460" s="85"/>
      <c r="P460" s="85"/>
      <c r="Q460" s="85"/>
      <c r="R460" s="85"/>
      <c r="S460" s="85"/>
      <c r="T460" s="85"/>
      <c r="U460" s="85"/>
      <c r="V460" s="85"/>
      <c r="W460" s="85"/>
      <c r="X460" s="85"/>
      <c r="Y460" s="85"/>
      <c r="Z460" s="85"/>
      <c r="AA460" s="85"/>
      <c r="AB460" s="85"/>
      <c r="AC460" s="85"/>
      <c r="AD460" s="85"/>
      <c r="AE460" s="85"/>
      <c r="AF460" s="85"/>
      <c r="AG460" s="85"/>
      <c r="AH460" s="85"/>
      <c r="AI460" s="85"/>
      <c r="AJ460" s="85"/>
      <c r="AK460" s="85"/>
      <c r="AL460" s="85"/>
      <c r="AM460" s="85"/>
      <c r="AN460" s="85"/>
      <c r="AO460" s="85"/>
      <c r="AP460" s="85"/>
      <c r="AQ460" s="85"/>
      <c r="AR460" s="85"/>
      <c r="AS460" s="85"/>
      <c r="AT460" s="85"/>
      <c r="AU460" s="85"/>
      <c r="AV460" s="85"/>
      <c r="AW460" s="85"/>
      <c r="AX460" s="85"/>
      <c r="AY460" s="85"/>
      <c r="AZ460" s="85"/>
      <c r="BA460" s="85"/>
      <c r="BB460" s="85"/>
      <c r="BC460" s="85"/>
      <c r="BD460" s="85"/>
      <c r="BE460" s="85"/>
      <c r="BF460" s="85"/>
      <c r="BG460" s="85"/>
      <c r="BH460" s="85"/>
      <c r="BI460" s="85"/>
      <c r="BJ460" s="85"/>
      <c r="BK460" s="85"/>
      <c r="BL460" s="85"/>
      <c r="BM460" s="85"/>
      <c r="BN460" s="85"/>
      <c r="BO460" s="85"/>
      <c r="BP460" s="85"/>
      <c r="BQ460" s="85"/>
      <c r="BR460" s="85"/>
      <c r="BS460" s="85"/>
      <c r="BT460" s="85"/>
      <c r="BU460" s="85"/>
      <c r="BV460" s="85"/>
      <c r="BW460" s="85"/>
      <c r="BX460" s="85"/>
      <c r="BY460" s="85"/>
      <c r="BZ460" s="85"/>
      <c r="CA460" s="85"/>
      <c r="CB460" s="85"/>
      <c r="CC460" s="85"/>
      <c r="CD460" s="85"/>
      <c r="CE460" s="85"/>
      <c r="CF460" s="85"/>
      <c r="CG460" s="85"/>
      <c r="CH460" s="85"/>
      <c r="CI460" s="85"/>
      <c r="CJ460" s="85"/>
      <c r="CK460" s="85"/>
      <c r="CL460" s="85"/>
      <c r="CM460" s="85"/>
      <c r="CN460" s="85"/>
      <c r="CO460" s="85"/>
      <c r="CP460" s="85"/>
      <c r="CQ460" s="85"/>
      <c r="CR460" s="85"/>
      <c r="CS460" s="85"/>
      <c r="CT460" s="85"/>
      <c r="CU460" s="85"/>
      <c r="CV460" s="85"/>
      <c r="CW460" s="85"/>
      <c r="CX460" s="85"/>
      <c r="CY460" s="85"/>
      <c r="CZ460" s="85"/>
      <c r="DA460" s="85"/>
      <c r="DB460" s="85"/>
      <c r="DC460" s="85"/>
      <c r="DD460" s="85"/>
    </row>
    <row r="461" spans="2:108" x14ac:dyDescent="0.3">
      <c r="B461" s="96"/>
      <c r="C461" s="96"/>
      <c r="D461" s="96"/>
      <c r="E461" s="96"/>
      <c r="N461" s="85"/>
      <c r="O461" s="85"/>
      <c r="P461" s="85"/>
      <c r="Q461" s="85"/>
      <c r="R461" s="85"/>
      <c r="S461" s="85"/>
      <c r="T461" s="85"/>
      <c r="U461" s="85"/>
      <c r="V461" s="85"/>
      <c r="W461" s="85"/>
      <c r="X461" s="85"/>
      <c r="Y461" s="85"/>
      <c r="Z461" s="85"/>
      <c r="AA461" s="85"/>
      <c r="AB461" s="85"/>
      <c r="AC461" s="85"/>
      <c r="AD461" s="85"/>
      <c r="AE461" s="85"/>
      <c r="AF461" s="85"/>
      <c r="AG461" s="85"/>
      <c r="AH461" s="85"/>
      <c r="AI461" s="85"/>
      <c r="AJ461" s="85"/>
      <c r="AK461" s="85"/>
      <c r="AL461" s="85"/>
      <c r="AM461" s="85"/>
      <c r="AN461" s="85"/>
      <c r="AO461" s="85"/>
      <c r="AP461" s="85"/>
      <c r="AQ461" s="85"/>
      <c r="AR461" s="85"/>
      <c r="AS461" s="85"/>
      <c r="AT461" s="85"/>
      <c r="AU461" s="85"/>
      <c r="AV461" s="85"/>
      <c r="AW461" s="85"/>
      <c r="AX461" s="85"/>
      <c r="AY461" s="85"/>
      <c r="AZ461" s="85"/>
      <c r="BA461" s="85"/>
      <c r="BB461" s="85"/>
      <c r="BC461" s="85"/>
      <c r="BD461" s="85"/>
      <c r="BE461" s="85"/>
      <c r="BF461" s="85"/>
      <c r="BG461" s="85"/>
      <c r="BH461" s="85"/>
      <c r="BI461" s="85"/>
      <c r="BJ461" s="85"/>
      <c r="BK461" s="85"/>
      <c r="BL461" s="85"/>
      <c r="BM461" s="85"/>
      <c r="BN461" s="85"/>
      <c r="BO461" s="85"/>
      <c r="BP461" s="85"/>
      <c r="BQ461" s="85"/>
      <c r="BR461" s="85"/>
      <c r="BS461" s="85"/>
      <c r="BT461" s="85"/>
      <c r="BU461" s="85"/>
      <c r="BV461" s="85"/>
      <c r="BW461" s="85"/>
      <c r="BX461" s="85"/>
      <c r="BY461" s="85"/>
      <c r="BZ461" s="85"/>
      <c r="CA461" s="85"/>
      <c r="CB461" s="85"/>
      <c r="CC461" s="85"/>
      <c r="CD461" s="85"/>
      <c r="CE461" s="85"/>
      <c r="CF461" s="85"/>
      <c r="CG461" s="85"/>
      <c r="CH461" s="85"/>
      <c r="CI461" s="85"/>
      <c r="CJ461" s="85"/>
      <c r="CK461" s="85"/>
      <c r="CL461" s="85"/>
      <c r="CM461" s="85"/>
      <c r="CN461" s="85"/>
      <c r="CO461" s="85"/>
      <c r="CP461" s="85"/>
      <c r="CQ461" s="85"/>
      <c r="CR461" s="85"/>
      <c r="CS461" s="85"/>
      <c r="CT461" s="85"/>
      <c r="CU461" s="85"/>
      <c r="CV461" s="85"/>
      <c r="CW461" s="85"/>
      <c r="CX461" s="85"/>
      <c r="CY461" s="85"/>
      <c r="CZ461" s="85"/>
      <c r="DA461" s="85"/>
      <c r="DB461" s="85"/>
      <c r="DC461" s="85"/>
      <c r="DD461" s="85"/>
    </row>
    <row r="462" spans="2:108" x14ac:dyDescent="0.3">
      <c r="B462" s="96"/>
      <c r="C462" s="96"/>
      <c r="D462" s="96"/>
      <c r="E462" s="96"/>
      <c r="N462" s="85"/>
      <c r="O462" s="85"/>
      <c r="P462" s="85"/>
      <c r="Q462" s="85"/>
      <c r="R462" s="85"/>
      <c r="S462" s="85"/>
      <c r="T462" s="85"/>
      <c r="U462" s="85"/>
      <c r="V462" s="85"/>
      <c r="W462" s="85"/>
      <c r="X462" s="85"/>
      <c r="Y462" s="85"/>
      <c r="Z462" s="85"/>
      <c r="AA462" s="85"/>
      <c r="AB462" s="85"/>
      <c r="AC462" s="85"/>
      <c r="AD462" s="85"/>
      <c r="AE462" s="85"/>
      <c r="AF462" s="85"/>
      <c r="AG462" s="85"/>
      <c r="AH462" s="85"/>
      <c r="AI462" s="85"/>
      <c r="AJ462" s="85"/>
      <c r="AK462" s="85"/>
      <c r="AL462" s="85"/>
      <c r="AM462" s="85"/>
      <c r="AN462" s="85"/>
      <c r="AO462" s="85"/>
      <c r="AP462" s="85"/>
      <c r="AQ462" s="85"/>
      <c r="AR462" s="85"/>
      <c r="AS462" s="85"/>
      <c r="AT462" s="85"/>
      <c r="AU462" s="85"/>
      <c r="AV462" s="85"/>
      <c r="AW462" s="85"/>
      <c r="AX462" s="85"/>
      <c r="AY462" s="85"/>
      <c r="AZ462" s="85"/>
      <c r="BA462" s="85"/>
      <c r="BB462" s="85"/>
      <c r="BC462" s="85"/>
      <c r="BD462" s="85"/>
      <c r="BE462" s="85"/>
      <c r="BF462" s="85"/>
      <c r="BG462" s="85"/>
      <c r="BH462" s="85"/>
      <c r="BI462" s="85"/>
      <c r="BJ462" s="85"/>
      <c r="BK462" s="85"/>
      <c r="BL462" s="85"/>
      <c r="BM462" s="85"/>
      <c r="BN462" s="85"/>
      <c r="BO462" s="85"/>
      <c r="BP462" s="85"/>
      <c r="BQ462" s="85"/>
      <c r="BR462" s="85"/>
      <c r="BS462" s="85"/>
      <c r="BT462" s="85"/>
      <c r="BU462" s="85"/>
      <c r="BV462" s="85"/>
      <c r="BW462" s="85"/>
      <c r="BX462" s="85"/>
      <c r="BY462" s="85"/>
      <c r="BZ462" s="85"/>
      <c r="CA462" s="85"/>
      <c r="CB462" s="85"/>
      <c r="CC462" s="85"/>
      <c r="CD462" s="85"/>
      <c r="CE462" s="85"/>
      <c r="CF462" s="85"/>
      <c r="CG462" s="85"/>
      <c r="CH462" s="85"/>
      <c r="CI462" s="85"/>
      <c r="CJ462" s="85"/>
      <c r="CK462" s="85"/>
      <c r="CL462" s="85"/>
      <c r="CM462" s="85"/>
      <c r="CN462" s="85"/>
      <c r="CO462" s="85"/>
      <c r="CP462" s="85"/>
      <c r="CQ462" s="85"/>
      <c r="CR462" s="85"/>
      <c r="CS462" s="85"/>
      <c r="CT462" s="85"/>
      <c r="CU462" s="85"/>
      <c r="CV462" s="85"/>
      <c r="CW462" s="85"/>
      <c r="CX462" s="85"/>
      <c r="CY462" s="85"/>
      <c r="CZ462" s="85"/>
      <c r="DA462" s="85"/>
      <c r="DB462" s="85"/>
      <c r="DC462" s="85"/>
      <c r="DD462" s="85"/>
    </row>
    <row r="463" spans="2:108" x14ac:dyDescent="0.3">
      <c r="B463" s="96"/>
      <c r="C463" s="96"/>
      <c r="D463" s="96"/>
      <c r="E463" s="96"/>
      <c r="N463" s="85"/>
      <c r="O463" s="85"/>
      <c r="P463" s="85"/>
      <c r="Q463" s="85"/>
      <c r="R463" s="85"/>
      <c r="S463" s="85"/>
      <c r="T463" s="85"/>
      <c r="U463" s="85"/>
      <c r="V463" s="85"/>
      <c r="W463" s="85"/>
      <c r="X463" s="85"/>
      <c r="Y463" s="85"/>
      <c r="Z463" s="85"/>
      <c r="AA463" s="85"/>
      <c r="AB463" s="85"/>
      <c r="AC463" s="85"/>
      <c r="AD463" s="85"/>
      <c r="AE463" s="85"/>
      <c r="AF463" s="85"/>
      <c r="AG463" s="85"/>
      <c r="AH463" s="85"/>
      <c r="AI463" s="85"/>
      <c r="AJ463" s="85"/>
      <c r="AK463" s="85"/>
      <c r="AL463" s="85"/>
      <c r="AM463" s="85"/>
      <c r="AN463" s="85"/>
      <c r="AO463" s="85"/>
      <c r="AP463" s="85"/>
      <c r="AQ463" s="85"/>
      <c r="AR463" s="85"/>
      <c r="AS463" s="85"/>
      <c r="AT463" s="85"/>
      <c r="AU463" s="85"/>
      <c r="AV463" s="85"/>
      <c r="AW463" s="85"/>
      <c r="AX463" s="85"/>
      <c r="AY463" s="85"/>
      <c r="AZ463" s="85"/>
      <c r="BA463" s="85"/>
      <c r="BB463" s="85"/>
      <c r="BC463" s="85"/>
      <c r="BD463" s="85"/>
      <c r="BE463" s="85"/>
      <c r="BF463" s="85"/>
      <c r="BG463" s="85"/>
      <c r="BH463" s="85"/>
      <c r="BI463" s="85"/>
      <c r="BJ463" s="85"/>
      <c r="BK463" s="85"/>
      <c r="BL463" s="85"/>
      <c r="BM463" s="85"/>
      <c r="BN463" s="85"/>
      <c r="BO463" s="85"/>
      <c r="BP463" s="85"/>
      <c r="BQ463" s="85"/>
      <c r="BR463" s="85"/>
      <c r="BS463" s="85"/>
      <c r="BT463" s="85"/>
      <c r="BU463" s="85"/>
      <c r="BV463" s="85"/>
      <c r="BW463" s="85"/>
      <c r="BX463" s="85"/>
      <c r="BY463" s="85"/>
      <c r="BZ463" s="85"/>
      <c r="CA463" s="85"/>
      <c r="CB463" s="85"/>
      <c r="CC463" s="85"/>
      <c r="CD463" s="85"/>
      <c r="CE463" s="85"/>
      <c r="CF463" s="85"/>
      <c r="CG463" s="85"/>
      <c r="CH463" s="85"/>
      <c r="CI463" s="85"/>
      <c r="CJ463" s="85"/>
      <c r="CK463" s="85"/>
      <c r="CL463" s="85"/>
      <c r="CM463" s="85"/>
      <c r="CN463" s="85"/>
      <c r="CO463" s="85"/>
      <c r="CP463" s="85"/>
      <c r="CQ463" s="85"/>
      <c r="CR463" s="85"/>
      <c r="CS463" s="85"/>
      <c r="CT463" s="85"/>
      <c r="CU463" s="85"/>
      <c r="CV463" s="85"/>
      <c r="CW463" s="85"/>
      <c r="CX463" s="85"/>
      <c r="CY463" s="85"/>
      <c r="CZ463" s="85"/>
      <c r="DA463" s="85"/>
      <c r="DB463" s="85"/>
      <c r="DC463" s="85"/>
      <c r="DD463" s="85"/>
    </row>
    <row r="464" spans="2:108" x14ac:dyDescent="0.3">
      <c r="B464" s="96"/>
      <c r="C464" s="96"/>
      <c r="G464" s="85"/>
      <c r="H464" s="85"/>
      <c r="I464" s="85"/>
      <c r="J464" s="85"/>
      <c r="K464" s="85"/>
      <c r="L464" s="85"/>
      <c r="M464" s="85"/>
      <c r="N464" s="85"/>
      <c r="O464" s="85"/>
      <c r="P464" s="85"/>
      <c r="Q464" s="85"/>
      <c r="R464" s="85"/>
      <c r="S464" s="85"/>
      <c r="T464" s="85"/>
      <c r="U464" s="85"/>
      <c r="V464" s="85"/>
      <c r="W464" s="85"/>
      <c r="X464" s="85"/>
      <c r="Y464" s="85"/>
      <c r="Z464" s="85"/>
      <c r="AA464" s="85"/>
      <c r="AB464" s="85"/>
      <c r="AC464" s="85"/>
      <c r="AD464" s="85"/>
      <c r="AE464" s="85"/>
      <c r="AF464" s="85"/>
      <c r="AG464" s="85"/>
      <c r="AH464" s="85"/>
      <c r="AI464" s="85"/>
      <c r="AJ464" s="85"/>
      <c r="AK464" s="85"/>
      <c r="AL464" s="85"/>
      <c r="AM464" s="85"/>
      <c r="AN464" s="85"/>
      <c r="AO464" s="85"/>
      <c r="AP464" s="85"/>
      <c r="AQ464" s="85"/>
      <c r="AR464" s="85"/>
      <c r="AS464" s="85"/>
      <c r="AT464" s="85"/>
      <c r="AU464" s="85"/>
      <c r="AV464" s="85"/>
      <c r="AW464" s="85"/>
      <c r="AX464" s="85"/>
      <c r="AY464" s="85"/>
      <c r="AZ464" s="85"/>
      <c r="BA464" s="85"/>
      <c r="BB464" s="85"/>
      <c r="BC464" s="85"/>
      <c r="BD464" s="85"/>
      <c r="BE464" s="85"/>
      <c r="BF464" s="85"/>
      <c r="BG464" s="85"/>
      <c r="BH464" s="85"/>
      <c r="BI464" s="85"/>
      <c r="BJ464" s="85"/>
      <c r="BK464" s="85"/>
      <c r="BL464" s="85"/>
      <c r="BM464" s="85"/>
      <c r="BN464" s="85"/>
      <c r="BO464" s="85"/>
      <c r="BP464" s="85"/>
      <c r="BQ464" s="85"/>
      <c r="BR464" s="85"/>
      <c r="BS464" s="85"/>
      <c r="BT464" s="85"/>
      <c r="BU464" s="85"/>
      <c r="BV464" s="85"/>
      <c r="BW464" s="85"/>
      <c r="BX464" s="85"/>
      <c r="BY464" s="85"/>
      <c r="BZ464" s="85"/>
      <c r="CA464" s="85"/>
      <c r="CB464" s="85"/>
      <c r="CC464" s="85"/>
      <c r="CD464" s="85"/>
      <c r="CE464" s="85"/>
      <c r="CF464" s="85"/>
      <c r="CG464" s="85"/>
      <c r="CH464" s="85"/>
      <c r="CI464" s="85"/>
      <c r="CJ464" s="85"/>
      <c r="CK464" s="85"/>
      <c r="CL464" s="85"/>
      <c r="CM464" s="85"/>
      <c r="CN464" s="85"/>
      <c r="CO464" s="85"/>
      <c r="CP464" s="85"/>
      <c r="CQ464" s="85"/>
      <c r="CR464" s="85"/>
      <c r="CS464" s="85"/>
      <c r="CT464" s="85"/>
      <c r="CU464" s="85"/>
      <c r="CV464" s="85"/>
      <c r="CW464" s="85"/>
      <c r="CX464" s="85"/>
      <c r="CY464" s="85"/>
      <c r="CZ464" s="85"/>
      <c r="DA464" s="85"/>
      <c r="DB464" s="85"/>
      <c r="DC464" s="85"/>
      <c r="DD464" s="85"/>
    </row>
    <row r="465" spans="2:108" x14ac:dyDescent="0.3">
      <c r="B465" s="96"/>
      <c r="C465" s="96"/>
      <c r="P465" s="85"/>
      <c r="Q465" s="85"/>
      <c r="R465" s="85"/>
      <c r="S465" s="85"/>
      <c r="T465" s="85"/>
      <c r="U465" s="85"/>
      <c r="V465" s="85"/>
      <c r="W465" s="85"/>
      <c r="X465" s="85"/>
      <c r="Y465" s="85"/>
      <c r="Z465" s="85"/>
      <c r="AA465" s="85"/>
      <c r="AB465" s="85"/>
      <c r="AC465" s="85"/>
      <c r="AD465" s="85"/>
      <c r="AE465" s="85"/>
      <c r="AF465" s="85"/>
      <c r="AG465" s="85"/>
      <c r="AH465" s="85"/>
      <c r="AI465" s="85"/>
      <c r="AJ465" s="85"/>
      <c r="AK465" s="85"/>
      <c r="AL465" s="85"/>
      <c r="AM465" s="85"/>
      <c r="AN465" s="85"/>
      <c r="AO465" s="85"/>
      <c r="AP465" s="85"/>
      <c r="AQ465" s="85"/>
      <c r="AR465" s="85"/>
      <c r="AS465" s="85"/>
      <c r="AT465" s="85"/>
      <c r="AU465" s="85"/>
      <c r="AV465" s="85"/>
      <c r="AW465" s="85"/>
      <c r="AX465" s="85"/>
      <c r="AY465" s="85"/>
      <c r="AZ465" s="85"/>
      <c r="BA465" s="85"/>
      <c r="BB465" s="85"/>
      <c r="BC465" s="85"/>
      <c r="BD465" s="85"/>
      <c r="BE465" s="85"/>
      <c r="BF465" s="85"/>
      <c r="BG465" s="85"/>
      <c r="BH465" s="85"/>
      <c r="BI465" s="85"/>
      <c r="BJ465" s="85"/>
      <c r="BK465" s="85"/>
      <c r="BL465" s="85"/>
      <c r="BM465" s="85"/>
      <c r="BN465" s="85"/>
      <c r="BO465" s="85"/>
      <c r="BP465" s="85"/>
      <c r="BQ465" s="85"/>
      <c r="BR465" s="85"/>
      <c r="BS465" s="85"/>
      <c r="BT465" s="85"/>
      <c r="BU465" s="85"/>
      <c r="BV465" s="85"/>
      <c r="BW465" s="85"/>
      <c r="BX465" s="85"/>
      <c r="BY465" s="85"/>
      <c r="BZ465" s="85"/>
      <c r="CA465" s="85"/>
      <c r="CB465" s="85"/>
      <c r="CC465" s="85"/>
      <c r="CD465" s="85"/>
      <c r="CE465" s="85"/>
      <c r="CF465" s="85"/>
      <c r="CG465" s="85"/>
      <c r="CH465" s="85"/>
      <c r="CI465" s="85"/>
      <c r="CJ465" s="85"/>
      <c r="CK465" s="85"/>
      <c r="CL465" s="85"/>
      <c r="CM465" s="85"/>
      <c r="CN465" s="85"/>
      <c r="CO465" s="85"/>
      <c r="CP465" s="85"/>
      <c r="CQ465" s="85"/>
      <c r="CR465" s="85"/>
      <c r="CS465" s="85"/>
      <c r="CT465" s="85"/>
      <c r="CU465" s="85"/>
      <c r="CV465" s="85"/>
      <c r="CW465" s="85"/>
      <c r="CX465" s="85"/>
      <c r="CY465" s="85"/>
      <c r="CZ465" s="85"/>
      <c r="DA465" s="85"/>
      <c r="DB465" s="85"/>
      <c r="DC465" s="85"/>
      <c r="DD465" s="85"/>
    </row>
    <row r="466" spans="2:108" x14ac:dyDescent="0.3">
      <c r="P466" s="85"/>
      <c r="Q466" s="85"/>
      <c r="R466" s="85"/>
      <c r="S466" s="85"/>
      <c r="T466" s="85"/>
      <c r="U466" s="85"/>
      <c r="V466" s="85"/>
      <c r="W466" s="85"/>
      <c r="X466" s="85"/>
      <c r="Y466" s="85"/>
      <c r="Z466" s="85"/>
      <c r="AA466" s="85"/>
      <c r="AB466" s="85"/>
      <c r="AC466" s="85"/>
      <c r="AD466" s="85"/>
      <c r="AE466" s="85"/>
      <c r="AF466" s="85"/>
      <c r="AG466" s="85"/>
      <c r="AH466" s="85"/>
      <c r="AI466" s="85"/>
      <c r="AJ466" s="85"/>
      <c r="AK466" s="85"/>
      <c r="AL466" s="85"/>
      <c r="AM466" s="85"/>
      <c r="AN466" s="85"/>
      <c r="AO466" s="85"/>
      <c r="AP466" s="85"/>
      <c r="AQ466" s="85"/>
      <c r="AR466" s="85"/>
      <c r="AS466" s="85"/>
      <c r="AT466" s="85"/>
      <c r="AU466" s="85"/>
      <c r="AV466" s="85"/>
      <c r="AW466" s="85"/>
      <c r="AX466" s="85"/>
      <c r="AY466" s="85"/>
      <c r="AZ466" s="85"/>
      <c r="BA466" s="85"/>
      <c r="BB466" s="85"/>
      <c r="BC466" s="85"/>
      <c r="BD466" s="85"/>
      <c r="BE466" s="85"/>
      <c r="BF466" s="85"/>
      <c r="BG466" s="85"/>
      <c r="BH466" s="85"/>
      <c r="BI466" s="85"/>
      <c r="BJ466" s="85"/>
      <c r="BK466" s="85"/>
      <c r="BL466" s="85"/>
      <c r="BM466" s="85"/>
      <c r="BN466" s="85"/>
      <c r="BO466" s="85"/>
      <c r="BP466" s="85"/>
      <c r="BQ466" s="85"/>
      <c r="BR466" s="85"/>
      <c r="BS466" s="85"/>
      <c r="BT466" s="85"/>
      <c r="BU466" s="85"/>
      <c r="BV466" s="85"/>
      <c r="BW466" s="85"/>
      <c r="BX466" s="85"/>
      <c r="BY466" s="85"/>
      <c r="BZ466" s="85"/>
      <c r="CA466" s="85"/>
      <c r="CB466" s="85"/>
      <c r="CC466" s="85"/>
      <c r="CD466" s="85"/>
      <c r="CE466" s="85"/>
      <c r="CF466" s="85"/>
      <c r="CG466" s="85"/>
      <c r="CH466" s="85"/>
      <c r="CI466" s="85"/>
      <c r="CJ466" s="85"/>
      <c r="CK466" s="85"/>
      <c r="CL466" s="85"/>
      <c r="CM466" s="85"/>
      <c r="CN466" s="85"/>
      <c r="CO466" s="85"/>
      <c r="CP466" s="85"/>
      <c r="CQ466" s="85"/>
      <c r="CR466" s="85"/>
      <c r="CS466" s="85"/>
      <c r="CT466" s="85"/>
      <c r="CU466" s="85"/>
      <c r="CV466" s="85"/>
      <c r="CW466" s="85"/>
      <c r="CX466" s="85"/>
      <c r="CY466" s="85"/>
      <c r="CZ466" s="85"/>
      <c r="DA466" s="85"/>
      <c r="DB466" s="85"/>
      <c r="DC466" s="85"/>
      <c r="DD466" s="85"/>
    </row>
    <row r="467" spans="2:108" x14ac:dyDescent="0.3">
      <c r="P467" s="85"/>
      <c r="Q467" s="85"/>
      <c r="R467" s="85"/>
      <c r="S467" s="85"/>
      <c r="T467" s="85"/>
      <c r="U467" s="85"/>
      <c r="V467" s="85"/>
      <c r="W467" s="85"/>
      <c r="X467" s="85"/>
      <c r="Y467" s="85"/>
      <c r="Z467" s="85"/>
      <c r="AA467" s="85"/>
      <c r="AB467" s="85"/>
      <c r="AC467" s="85"/>
      <c r="AD467" s="85"/>
      <c r="AE467" s="85"/>
      <c r="AF467" s="85"/>
      <c r="AG467" s="85"/>
      <c r="AH467" s="85"/>
      <c r="AI467" s="85"/>
      <c r="AJ467" s="85"/>
      <c r="AK467" s="85"/>
      <c r="AL467" s="85"/>
      <c r="AM467" s="85"/>
      <c r="AN467" s="85"/>
      <c r="AO467" s="85"/>
      <c r="AP467" s="85"/>
      <c r="AQ467" s="85"/>
      <c r="AR467" s="85"/>
      <c r="AS467" s="85"/>
      <c r="AT467" s="85"/>
      <c r="AU467" s="85"/>
      <c r="AV467" s="85"/>
      <c r="AW467" s="85"/>
      <c r="AX467" s="85"/>
      <c r="AY467" s="85"/>
      <c r="AZ467" s="85"/>
      <c r="BA467" s="85"/>
      <c r="BB467" s="85"/>
      <c r="BC467" s="85"/>
      <c r="BD467" s="85"/>
      <c r="BE467" s="85"/>
      <c r="BF467" s="85"/>
      <c r="BG467" s="85"/>
      <c r="BH467" s="85"/>
      <c r="BI467" s="85"/>
      <c r="BJ467" s="85"/>
      <c r="BK467" s="85"/>
      <c r="BL467" s="85"/>
      <c r="BM467" s="85"/>
      <c r="BN467" s="85"/>
      <c r="BO467" s="85"/>
      <c r="BP467" s="85"/>
      <c r="BQ467" s="85"/>
      <c r="BR467" s="85"/>
      <c r="BS467" s="85"/>
      <c r="BT467" s="85"/>
      <c r="BU467" s="85"/>
      <c r="BV467" s="85"/>
      <c r="BW467" s="85"/>
      <c r="BX467" s="85"/>
      <c r="BY467" s="85"/>
      <c r="BZ467" s="85"/>
      <c r="CA467" s="85"/>
      <c r="CB467" s="85"/>
      <c r="CC467" s="85"/>
      <c r="CD467" s="85"/>
      <c r="CE467" s="85"/>
      <c r="CF467" s="85"/>
      <c r="CG467" s="85"/>
      <c r="CH467" s="85"/>
      <c r="CI467" s="85"/>
      <c r="CJ467" s="85"/>
      <c r="CK467" s="85"/>
      <c r="CL467" s="85"/>
      <c r="CM467" s="85"/>
      <c r="CN467" s="85"/>
      <c r="CO467" s="85"/>
      <c r="CP467" s="85"/>
      <c r="CQ467" s="85"/>
      <c r="CR467" s="85"/>
      <c r="CS467" s="85"/>
      <c r="CT467" s="85"/>
      <c r="CU467" s="85"/>
      <c r="CV467" s="85"/>
      <c r="CW467" s="85"/>
      <c r="CX467" s="85"/>
      <c r="CY467" s="85"/>
      <c r="CZ467" s="85"/>
      <c r="DA467" s="85"/>
      <c r="DB467" s="85"/>
      <c r="DC467" s="85"/>
      <c r="DD467" s="85"/>
    </row>
    <row r="468" spans="2:108" x14ac:dyDescent="0.3">
      <c r="P468" s="85"/>
      <c r="Q468" s="85"/>
      <c r="R468" s="85"/>
      <c r="S468" s="85"/>
      <c r="T468" s="85"/>
      <c r="U468" s="85"/>
      <c r="V468" s="85"/>
      <c r="W468" s="85"/>
      <c r="X468" s="85"/>
      <c r="Y468" s="85"/>
      <c r="Z468" s="85"/>
      <c r="AA468" s="85"/>
      <c r="AB468" s="85"/>
      <c r="AC468" s="85"/>
      <c r="AD468" s="85"/>
      <c r="AE468" s="85"/>
      <c r="AF468" s="85"/>
      <c r="AG468" s="85"/>
      <c r="AH468" s="85"/>
      <c r="AI468" s="85"/>
      <c r="AJ468" s="85"/>
      <c r="AK468" s="85"/>
      <c r="AL468" s="85"/>
      <c r="AM468" s="85"/>
      <c r="AN468" s="85"/>
      <c r="AO468" s="85"/>
      <c r="AP468" s="85"/>
      <c r="AQ468" s="85"/>
      <c r="AR468" s="85"/>
      <c r="AS468" s="85"/>
      <c r="AT468" s="85"/>
      <c r="AU468" s="85"/>
      <c r="AV468" s="85"/>
      <c r="AW468" s="85"/>
      <c r="AX468" s="85"/>
      <c r="AY468" s="85"/>
      <c r="AZ468" s="85"/>
      <c r="BA468" s="85"/>
      <c r="BB468" s="85"/>
      <c r="BC468" s="85"/>
      <c r="BD468" s="85"/>
      <c r="BE468" s="85"/>
      <c r="BF468" s="85"/>
      <c r="BG468" s="85"/>
      <c r="BH468" s="85"/>
      <c r="BI468" s="85"/>
      <c r="BJ468" s="85"/>
      <c r="BK468" s="85"/>
      <c r="BL468" s="85"/>
      <c r="BM468" s="85"/>
      <c r="BN468" s="85"/>
      <c r="BO468" s="85"/>
      <c r="BP468" s="85"/>
      <c r="BQ468" s="85"/>
      <c r="BR468" s="85"/>
      <c r="BS468" s="85"/>
      <c r="BT468" s="85"/>
      <c r="BU468" s="85"/>
      <c r="BV468" s="85"/>
      <c r="BW468" s="85"/>
      <c r="BX468" s="85"/>
      <c r="BY468" s="85"/>
      <c r="BZ468" s="85"/>
      <c r="CA468" s="85"/>
      <c r="CB468" s="85"/>
      <c r="CC468" s="85"/>
      <c r="CD468" s="85"/>
      <c r="CE468" s="85"/>
      <c r="CF468" s="85"/>
      <c r="CG468" s="85"/>
      <c r="CH468" s="85"/>
      <c r="CI468" s="85"/>
      <c r="CJ468" s="85"/>
      <c r="CK468" s="85"/>
      <c r="CL468" s="85"/>
      <c r="CM468" s="85"/>
      <c r="CN468" s="85"/>
      <c r="CO468" s="85"/>
      <c r="CP468" s="85"/>
      <c r="CQ468" s="85"/>
      <c r="CR468" s="85"/>
      <c r="CS468" s="85"/>
      <c r="CT468" s="85"/>
      <c r="CU468" s="85"/>
      <c r="CV468" s="85"/>
      <c r="CW468" s="85"/>
      <c r="CX468" s="85"/>
      <c r="CY468" s="85"/>
      <c r="CZ468" s="85"/>
      <c r="DA468" s="85"/>
      <c r="DB468" s="85"/>
      <c r="DC468" s="85"/>
      <c r="DD468" s="85"/>
    </row>
    <row r="469" spans="2:108" x14ac:dyDescent="0.3">
      <c r="P469" s="85"/>
      <c r="Q469" s="85"/>
      <c r="R469" s="85"/>
      <c r="S469" s="85"/>
      <c r="T469" s="85"/>
      <c r="U469" s="85"/>
      <c r="V469" s="85"/>
      <c r="W469" s="85"/>
      <c r="X469" s="85"/>
      <c r="Y469" s="85"/>
      <c r="Z469" s="85"/>
      <c r="AA469" s="85"/>
      <c r="AB469" s="85"/>
      <c r="AC469" s="85"/>
      <c r="AD469" s="85"/>
      <c r="AE469" s="85"/>
      <c r="AF469" s="85"/>
      <c r="AG469" s="85"/>
      <c r="AH469" s="85"/>
      <c r="AI469" s="85"/>
      <c r="AJ469" s="85"/>
      <c r="AK469" s="85"/>
      <c r="AL469" s="85"/>
      <c r="AM469" s="85"/>
      <c r="AN469" s="85"/>
      <c r="AO469" s="85"/>
      <c r="AP469" s="85"/>
      <c r="AQ469" s="85"/>
      <c r="AR469" s="85"/>
      <c r="AS469" s="85"/>
      <c r="AT469" s="85"/>
      <c r="AU469" s="85"/>
      <c r="AV469" s="85"/>
      <c r="AW469" s="85"/>
      <c r="AX469" s="85"/>
      <c r="AY469" s="85"/>
      <c r="AZ469" s="85"/>
      <c r="BA469" s="85"/>
      <c r="BB469" s="85"/>
      <c r="BC469" s="85"/>
      <c r="BD469" s="85"/>
      <c r="BE469" s="85"/>
      <c r="BF469" s="85"/>
      <c r="BG469" s="85"/>
      <c r="BH469" s="85"/>
      <c r="BI469" s="85"/>
      <c r="BJ469" s="85"/>
      <c r="BK469" s="85"/>
      <c r="BL469" s="85"/>
      <c r="BM469" s="85"/>
      <c r="BN469" s="85"/>
      <c r="BO469" s="85"/>
      <c r="BP469" s="85"/>
      <c r="BQ469" s="85"/>
      <c r="BR469" s="85"/>
      <c r="BS469" s="85"/>
      <c r="BT469" s="85"/>
      <c r="BU469" s="85"/>
      <c r="BV469" s="85"/>
      <c r="BW469" s="85"/>
      <c r="BX469" s="85"/>
      <c r="BY469" s="85"/>
      <c r="BZ469" s="85"/>
      <c r="CA469" s="85"/>
      <c r="CB469" s="85"/>
      <c r="CC469" s="85"/>
      <c r="CD469" s="85"/>
      <c r="CE469" s="85"/>
      <c r="CF469" s="85"/>
      <c r="CG469" s="85"/>
      <c r="CH469" s="85"/>
      <c r="CI469" s="85"/>
      <c r="CJ469" s="85"/>
      <c r="CK469" s="85"/>
      <c r="CL469" s="85"/>
      <c r="CM469" s="85"/>
      <c r="CN469" s="85"/>
      <c r="CO469" s="85"/>
      <c r="CP469" s="85"/>
      <c r="CQ469" s="85"/>
      <c r="CR469" s="85"/>
      <c r="CS469" s="85"/>
      <c r="CT469" s="85"/>
      <c r="CU469" s="85"/>
      <c r="CV469" s="85"/>
      <c r="CW469" s="85"/>
      <c r="CX469" s="85"/>
      <c r="CY469" s="85"/>
      <c r="CZ469" s="85"/>
      <c r="DA469" s="85"/>
      <c r="DB469" s="85"/>
      <c r="DC469" s="85"/>
      <c r="DD469" s="85"/>
    </row>
    <row r="470" spans="2:108" x14ac:dyDescent="0.3">
      <c r="P470" s="85"/>
      <c r="Q470" s="85"/>
      <c r="R470" s="85"/>
      <c r="S470" s="85"/>
      <c r="T470" s="85"/>
      <c r="U470" s="85"/>
      <c r="V470" s="85"/>
      <c r="W470" s="85"/>
      <c r="X470" s="85"/>
      <c r="Y470" s="85"/>
      <c r="Z470" s="85"/>
      <c r="AA470" s="85"/>
      <c r="AB470" s="85"/>
      <c r="AC470" s="85"/>
      <c r="AD470" s="85"/>
      <c r="AE470" s="85"/>
      <c r="AF470" s="85"/>
      <c r="AG470" s="85"/>
      <c r="AH470" s="85"/>
      <c r="AI470" s="85"/>
      <c r="AJ470" s="85"/>
      <c r="AK470" s="85"/>
      <c r="AL470" s="85"/>
      <c r="AM470" s="85"/>
      <c r="AN470" s="85"/>
      <c r="AO470" s="85"/>
      <c r="AP470" s="85"/>
      <c r="AQ470" s="85"/>
      <c r="AR470" s="85"/>
      <c r="AS470" s="85"/>
      <c r="AT470" s="85"/>
      <c r="AU470" s="85"/>
      <c r="AV470" s="85"/>
      <c r="AW470" s="85"/>
      <c r="AX470" s="85"/>
      <c r="AY470" s="85"/>
      <c r="AZ470" s="85"/>
      <c r="BA470" s="85"/>
      <c r="BB470" s="85"/>
      <c r="BC470" s="85"/>
      <c r="BD470" s="85"/>
      <c r="BE470" s="85"/>
      <c r="BF470" s="85"/>
      <c r="BG470" s="85"/>
      <c r="BH470" s="85"/>
      <c r="BI470" s="85"/>
      <c r="BJ470" s="85"/>
      <c r="BK470" s="85"/>
      <c r="BL470" s="85"/>
      <c r="BM470" s="85"/>
      <c r="BN470" s="85"/>
      <c r="BO470" s="85"/>
      <c r="BP470" s="85"/>
      <c r="BQ470" s="85"/>
      <c r="BR470" s="85"/>
      <c r="BS470" s="85"/>
      <c r="BT470" s="85"/>
      <c r="BU470" s="85"/>
      <c r="BV470" s="85"/>
      <c r="BW470" s="85"/>
      <c r="BX470" s="85"/>
      <c r="BY470" s="85"/>
      <c r="BZ470" s="85"/>
      <c r="CA470" s="85"/>
      <c r="CB470" s="85"/>
      <c r="CC470" s="85"/>
      <c r="CD470" s="85"/>
      <c r="CE470" s="85"/>
      <c r="CF470" s="85"/>
      <c r="CG470" s="85"/>
      <c r="CH470" s="85"/>
      <c r="CI470" s="85"/>
      <c r="CJ470" s="85"/>
      <c r="CK470" s="85"/>
      <c r="CL470" s="85"/>
      <c r="CM470" s="85"/>
      <c r="CN470" s="85"/>
      <c r="CO470" s="85"/>
      <c r="CP470" s="85"/>
      <c r="CQ470" s="85"/>
      <c r="CR470" s="85"/>
      <c r="CS470" s="85"/>
      <c r="CT470" s="85"/>
      <c r="CU470" s="85"/>
      <c r="CV470" s="85"/>
      <c r="CW470" s="85"/>
      <c r="CX470" s="85"/>
      <c r="CY470" s="85"/>
      <c r="CZ470" s="85"/>
      <c r="DA470" s="85"/>
      <c r="DB470" s="85"/>
      <c r="DC470" s="85"/>
      <c r="DD470" s="85"/>
    </row>
    <row r="471" spans="2:108" x14ac:dyDescent="0.3">
      <c r="P471" s="85"/>
      <c r="Q471" s="85"/>
      <c r="R471" s="85"/>
      <c r="S471" s="85"/>
      <c r="T471" s="85"/>
      <c r="U471" s="85"/>
      <c r="V471" s="85"/>
      <c r="W471" s="85"/>
      <c r="X471" s="85"/>
      <c r="Y471" s="85"/>
      <c r="Z471" s="85"/>
      <c r="AA471" s="85"/>
      <c r="AB471" s="85"/>
      <c r="AC471" s="85"/>
      <c r="AD471" s="85"/>
      <c r="AE471" s="85"/>
      <c r="AF471" s="85"/>
      <c r="AG471" s="85"/>
      <c r="AH471" s="85"/>
      <c r="AI471" s="85"/>
      <c r="AJ471" s="85"/>
      <c r="AK471" s="85"/>
      <c r="AL471" s="85"/>
      <c r="AM471" s="85"/>
      <c r="AN471" s="85"/>
      <c r="AO471" s="85"/>
      <c r="AP471" s="85"/>
      <c r="AQ471" s="85"/>
      <c r="AR471" s="85"/>
      <c r="AS471" s="85"/>
      <c r="AT471" s="85"/>
      <c r="AU471" s="85"/>
      <c r="AV471" s="85"/>
      <c r="AW471" s="85"/>
      <c r="AX471" s="85"/>
      <c r="AY471" s="85"/>
      <c r="AZ471" s="85"/>
      <c r="BA471" s="85"/>
      <c r="BB471" s="85"/>
      <c r="BC471" s="85"/>
      <c r="BD471" s="85"/>
      <c r="BE471" s="85"/>
      <c r="BF471" s="85"/>
      <c r="BG471" s="85"/>
      <c r="BH471" s="85"/>
      <c r="BI471" s="85"/>
      <c r="BJ471" s="85"/>
      <c r="BK471" s="85"/>
      <c r="BL471" s="85"/>
      <c r="BM471" s="85"/>
      <c r="BN471" s="85"/>
      <c r="BO471" s="85"/>
      <c r="BP471" s="85"/>
      <c r="BQ471" s="85"/>
      <c r="BR471" s="85"/>
      <c r="BS471" s="85"/>
      <c r="BT471" s="85"/>
      <c r="BU471" s="85"/>
      <c r="BV471" s="85"/>
      <c r="BW471" s="85"/>
      <c r="BX471" s="85"/>
      <c r="BY471" s="85"/>
      <c r="BZ471" s="85"/>
      <c r="CA471" s="85"/>
      <c r="CB471" s="85"/>
      <c r="CC471" s="85"/>
      <c r="CD471" s="85"/>
      <c r="CE471" s="85"/>
      <c r="CF471" s="85"/>
      <c r="CG471" s="85"/>
      <c r="CH471" s="85"/>
      <c r="CI471" s="85"/>
      <c r="CJ471" s="85"/>
      <c r="CK471" s="85"/>
      <c r="CL471" s="85"/>
      <c r="CM471" s="85"/>
      <c r="CN471" s="85"/>
      <c r="CO471" s="85"/>
      <c r="CP471" s="85"/>
      <c r="CQ471" s="85"/>
      <c r="CR471" s="85"/>
      <c r="CS471" s="85"/>
      <c r="CT471" s="85"/>
      <c r="CU471" s="85"/>
      <c r="CV471" s="85"/>
      <c r="CW471" s="85"/>
      <c r="CX471" s="85"/>
      <c r="CY471" s="85"/>
      <c r="CZ471" s="85"/>
      <c r="DA471" s="85"/>
      <c r="DB471" s="85"/>
      <c r="DC471" s="85"/>
      <c r="DD471" s="85"/>
    </row>
    <row r="472" spans="2:108" x14ac:dyDescent="0.3">
      <c r="P472" s="85"/>
      <c r="Q472" s="85"/>
      <c r="R472" s="85"/>
      <c r="S472" s="85"/>
      <c r="T472" s="85"/>
      <c r="U472" s="85"/>
      <c r="V472" s="85"/>
      <c r="W472" s="85"/>
      <c r="X472" s="85"/>
      <c r="Y472" s="85"/>
      <c r="Z472" s="85"/>
      <c r="AA472" s="85"/>
      <c r="AB472" s="85"/>
      <c r="AC472" s="85"/>
      <c r="AD472" s="85"/>
      <c r="AE472" s="85"/>
      <c r="AF472" s="85"/>
      <c r="AG472" s="85"/>
      <c r="AH472" s="85"/>
      <c r="AI472" s="85"/>
      <c r="AJ472" s="85"/>
      <c r="AK472" s="85"/>
      <c r="AL472" s="85"/>
      <c r="AM472" s="85"/>
      <c r="AN472" s="85"/>
      <c r="AO472" s="85"/>
      <c r="AP472" s="85"/>
      <c r="AQ472" s="85"/>
      <c r="AR472" s="85"/>
      <c r="AS472" s="85"/>
      <c r="AT472" s="85"/>
      <c r="AU472" s="85"/>
      <c r="AV472" s="85"/>
      <c r="AW472" s="85"/>
      <c r="AX472" s="85"/>
      <c r="AY472" s="85"/>
      <c r="AZ472" s="85"/>
      <c r="BA472" s="85"/>
      <c r="BB472" s="85"/>
      <c r="BC472" s="85"/>
      <c r="BD472" s="85"/>
      <c r="BE472" s="85"/>
      <c r="BF472" s="85"/>
      <c r="BG472" s="85"/>
      <c r="BH472" s="85"/>
      <c r="BI472" s="85"/>
      <c r="BJ472" s="85"/>
      <c r="BK472" s="85"/>
      <c r="BL472" s="85"/>
      <c r="BM472" s="85"/>
      <c r="BN472" s="85"/>
      <c r="BO472" s="85"/>
      <c r="BP472" s="85"/>
      <c r="BQ472" s="85"/>
      <c r="BR472" s="85"/>
      <c r="BS472" s="85"/>
      <c r="BT472" s="85"/>
      <c r="BU472" s="85"/>
      <c r="BV472" s="85"/>
      <c r="BW472" s="85"/>
      <c r="BX472" s="85"/>
      <c r="BY472" s="85"/>
      <c r="BZ472" s="85"/>
      <c r="CA472" s="85"/>
      <c r="CB472" s="85"/>
      <c r="CC472" s="85"/>
      <c r="CD472" s="85"/>
      <c r="CE472" s="85"/>
      <c r="CF472" s="85"/>
      <c r="CG472" s="85"/>
      <c r="CH472" s="85"/>
      <c r="CI472" s="85"/>
      <c r="CJ472" s="85"/>
      <c r="CK472" s="85"/>
      <c r="CL472" s="85"/>
      <c r="CM472" s="85"/>
      <c r="CN472" s="85"/>
      <c r="CO472" s="85"/>
      <c r="CP472" s="85"/>
      <c r="CQ472" s="85"/>
      <c r="CR472" s="85"/>
      <c r="CS472" s="85"/>
      <c r="CT472" s="85"/>
      <c r="CU472" s="85"/>
      <c r="CV472" s="85"/>
      <c r="CW472" s="85"/>
      <c r="CX472" s="85"/>
      <c r="CY472" s="85"/>
      <c r="CZ472" s="85"/>
      <c r="DA472" s="85"/>
      <c r="DB472" s="85"/>
      <c r="DC472" s="85"/>
      <c r="DD472" s="85"/>
    </row>
    <row r="473" spans="2:108" x14ac:dyDescent="0.3">
      <c r="P473" s="85"/>
      <c r="Q473" s="85"/>
      <c r="R473" s="85"/>
      <c r="S473" s="85"/>
      <c r="T473" s="85"/>
      <c r="U473" s="85"/>
      <c r="V473" s="85"/>
      <c r="W473" s="85"/>
      <c r="X473" s="85"/>
      <c r="Y473" s="85"/>
      <c r="Z473" s="85"/>
      <c r="AA473" s="85"/>
      <c r="AB473" s="85"/>
      <c r="AC473" s="85"/>
      <c r="AD473" s="85"/>
      <c r="AE473" s="85"/>
      <c r="AF473" s="85"/>
      <c r="AG473" s="85"/>
      <c r="AH473" s="85"/>
      <c r="AI473" s="85"/>
      <c r="AJ473" s="85"/>
      <c r="AK473" s="85"/>
      <c r="AL473" s="85"/>
      <c r="AM473" s="85"/>
      <c r="AN473" s="85"/>
      <c r="AO473" s="85"/>
      <c r="AP473" s="85"/>
      <c r="AQ473" s="85"/>
      <c r="AR473" s="85"/>
      <c r="AS473" s="85"/>
      <c r="AT473" s="85"/>
      <c r="AU473" s="85"/>
      <c r="AV473" s="85"/>
      <c r="AW473" s="85"/>
      <c r="AX473" s="85"/>
      <c r="AY473" s="85"/>
      <c r="AZ473" s="85"/>
      <c r="BA473" s="85"/>
      <c r="BB473" s="85"/>
      <c r="BC473" s="85"/>
      <c r="BD473" s="85"/>
      <c r="BE473" s="85"/>
      <c r="BF473" s="85"/>
      <c r="BG473" s="85"/>
      <c r="BH473" s="85"/>
      <c r="BI473" s="85"/>
      <c r="BJ473" s="85"/>
      <c r="BK473" s="85"/>
      <c r="BL473" s="85"/>
      <c r="BM473" s="85"/>
      <c r="BN473" s="85"/>
      <c r="BO473" s="85"/>
      <c r="BP473" s="85"/>
      <c r="BQ473" s="85"/>
      <c r="BR473" s="85"/>
      <c r="BS473" s="85"/>
      <c r="BT473" s="85"/>
      <c r="BU473" s="85"/>
      <c r="BV473" s="85"/>
      <c r="BW473" s="85"/>
      <c r="BX473" s="85"/>
      <c r="BY473" s="85"/>
      <c r="BZ473" s="85"/>
      <c r="CA473" s="85"/>
      <c r="CB473" s="85"/>
      <c r="CC473" s="85"/>
      <c r="CD473" s="85"/>
      <c r="CE473" s="85"/>
      <c r="CF473" s="85"/>
      <c r="CG473" s="85"/>
      <c r="CH473" s="85"/>
      <c r="CI473" s="85"/>
      <c r="CJ473" s="85"/>
      <c r="CK473" s="85"/>
      <c r="CL473" s="85"/>
      <c r="CM473" s="85"/>
      <c r="CN473" s="85"/>
      <c r="CO473" s="85"/>
      <c r="CP473" s="85"/>
      <c r="CQ473" s="85"/>
      <c r="CR473" s="85"/>
      <c r="CS473" s="85"/>
      <c r="CT473" s="85"/>
      <c r="CU473" s="85"/>
      <c r="CV473" s="85"/>
      <c r="CW473" s="85"/>
      <c r="CX473" s="85"/>
      <c r="CY473" s="85"/>
      <c r="CZ473" s="85"/>
      <c r="DA473" s="85"/>
      <c r="DB473" s="85"/>
      <c r="DC473" s="85"/>
      <c r="DD473" s="85"/>
    </row>
    <row r="474" spans="2:108" x14ac:dyDescent="0.3">
      <c r="P474" s="85"/>
      <c r="Q474" s="85"/>
      <c r="R474" s="85"/>
      <c r="S474" s="85"/>
      <c r="T474" s="85"/>
      <c r="U474" s="85"/>
      <c r="V474" s="85"/>
      <c r="W474" s="85"/>
      <c r="X474" s="85"/>
      <c r="Y474" s="85"/>
      <c r="Z474" s="85"/>
      <c r="AA474" s="85"/>
      <c r="AB474" s="85"/>
      <c r="AC474" s="85"/>
      <c r="AD474" s="85"/>
      <c r="AE474" s="85"/>
      <c r="AF474" s="85"/>
      <c r="AG474" s="85"/>
      <c r="AH474" s="85"/>
      <c r="AI474" s="85"/>
      <c r="AJ474" s="85"/>
      <c r="AK474" s="85"/>
      <c r="AL474" s="85"/>
      <c r="AM474" s="85"/>
      <c r="AN474" s="85"/>
      <c r="AO474" s="85"/>
      <c r="AP474" s="85"/>
      <c r="AQ474" s="85"/>
      <c r="AR474" s="85"/>
      <c r="AS474" s="85"/>
      <c r="AT474" s="85"/>
      <c r="AU474" s="85"/>
      <c r="AV474" s="85"/>
      <c r="AW474" s="85"/>
      <c r="AX474" s="85"/>
      <c r="AY474" s="85"/>
      <c r="AZ474" s="85"/>
      <c r="BA474" s="85"/>
      <c r="BB474" s="85"/>
      <c r="BC474" s="85"/>
      <c r="BD474" s="85"/>
      <c r="BE474" s="85"/>
      <c r="BF474" s="85"/>
      <c r="BG474" s="85"/>
      <c r="BH474" s="85"/>
      <c r="BI474" s="85"/>
      <c r="BJ474" s="85"/>
      <c r="BK474" s="85"/>
      <c r="BL474" s="85"/>
      <c r="BM474" s="85"/>
      <c r="BN474" s="85"/>
      <c r="BO474" s="85"/>
      <c r="BP474" s="85"/>
      <c r="BQ474" s="85"/>
      <c r="BR474" s="85"/>
      <c r="BS474" s="85"/>
      <c r="BT474" s="85"/>
      <c r="BU474" s="85"/>
      <c r="BV474" s="85"/>
      <c r="BW474" s="85"/>
      <c r="BX474" s="85"/>
      <c r="BY474" s="85"/>
      <c r="BZ474" s="85"/>
      <c r="CA474" s="85"/>
      <c r="CB474" s="85"/>
      <c r="CC474" s="85"/>
      <c r="CD474" s="85"/>
      <c r="CE474" s="85"/>
      <c r="CF474" s="85"/>
      <c r="CG474" s="85"/>
      <c r="CH474" s="85"/>
      <c r="CI474" s="85"/>
      <c r="CJ474" s="85"/>
      <c r="CK474" s="85"/>
      <c r="CL474" s="85"/>
      <c r="CM474" s="85"/>
      <c r="CN474" s="85"/>
      <c r="CO474" s="85"/>
      <c r="CP474" s="85"/>
      <c r="CQ474" s="85"/>
      <c r="CR474" s="85"/>
      <c r="CS474" s="85"/>
      <c r="CT474" s="85"/>
      <c r="CU474" s="85"/>
      <c r="CV474" s="85"/>
      <c r="CW474" s="85"/>
      <c r="CX474" s="85"/>
      <c r="CY474" s="85"/>
      <c r="CZ474" s="85"/>
      <c r="DA474" s="85"/>
      <c r="DB474" s="85"/>
      <c r="DC474" s="85"/>
      <c r="DD474" s="85"/>
    </row>
    <row r="475" spans="2:108" x14ac:dyDescent="0.3">
      <c r="P475" s="85"/>
      <c r="Q475" s="85"/>
      <c r="R475" s="85"/>
      <c r="S475" s="85"/>
      <c r="T475" s="85"/>
      <c r="U475" s="85"/>
      <c r="V475" s="85"/>
      <c r="W475" s="85"/>
      <c r="X475" s="85"/>
      <c r="Y475" s="85"/>
      <c r="Z475" s="85"/>
      <c r="AA475" s="85"/>
      <c r="AB475" s="85"/>
      <c r="AC475" s="85"/>
      <c r="AD475" s="85"/>
      <c r="AE475" s="85"/>
      <c r="AF475" s="85"/>
      <c r="AG475" s="85"/>
      <c r="AH475" s="85"/>
      <c r="AI475" s="85"/>
      <c r="AJ475" s="85"/>
      <c r="AK475" s="85"/>
      <c r="AL475" s="85"/>
      <c r="AM475" s="85"/>
      <c r="AN475" s="85"/>
      <c r="AO475" s="85"/>
      <c r="AP475" s="85"/>
      <c r="AQ475" s="85"/>
      <c r="AR475" s="85"/>
      <c r="AS475" s="85"/>
      <c r="AT475" s="85"/>
      <c r="AU475" s="85"/>
      <c r="AV475" s="85"/>
      <c r="AW475" s="85"/>
      <c r="AX475" s="85"/>
      <c r="AY475" s="85"/>
      <c r="AZ475" s="85"/>
      <c r="BA475" s="85"/>
      <c r="BB475" s="85"/>
      <c r="BC475" s="85"/>
      <c r="BD475" s="85"/>
      <c r="BE475" s="85"/>
      <c r="BF475" s="85"/>
      <c r="BG475" s="85"/>
      <c r="BH475" s="85"/>
      <c r="BI475" s="85"/>
      <c r="BJ475" s="85"/>
      <c r="BK475" s="85"/>
      <c r="BL475" s="85"/>
      <c r="BM475" s="85"/>
      <c r="BN475" s="85"/>
      <c r="BO475" s="85"/>
      <c r="BP475" s="85"/>
      <c r="BQ475" s="85"/>
      <c r="BR475" s="85"/>
      <c r="BS475" s="85"/>
      <c r="BT475" s="85"/>
      <c r="BU475" s="85"/>
      <c r="BV475" s="85"/>
      <c r="BW475" s="85"/>
      <c r="BX475" s="85"/>
      <c r="BY475" s="85"/>
      <c r="BZ475" s="85"/>
      <c r="CA475" s="85"/>
      <c r="CB475" s="85"/>
      <c r="CC475" s="85"/>
      <c r="CD475" s="85"/>
      <c r="CE475" s="85"/>
      <c r="CF475" s="85"/>
      <c r="CG475" s="85"/>
      <c r="CH475" s="85"/>
      <c r="CI475" s="85"/>
      <c r="CJ475" s="85"/>
      <c r="CK475" s="85"/>
      <c r="CL475" s="85"/>
      <c r="CM475" s="85"/>
      <c r="CN475" s="85"/>
      <c r="CO475" s="85"/>
      <c r="CP475" s="85"/>
      <c r="CQ475" s="85"/>
      <c r="CR475" s="85"/>
      <c r="CS475" s="85"/>
      <c r="CT475" s="85"/>
      <c r="CU475" s="85"/>
      <c r="CV475" s="85"/>
      <c r="CW475" s="85"/>
      <c r="CX475" s="85"/>
      <c r="CY475" s="85"/>
      <c r="CZ475" s="85"/>
      <c r="DA475" s="85"/>
      <c r="DB475" s="85"/>
      <c r="DC475" s="85"/>
      <c r="DD475" s="85"/>
    </row>
  </sheetData>
  <mergeCells count="1">
    <mergeCell ref="B5:C5"/>
  </mergeCells>
  <conditionalFormatting sqref="L3 L8 M3:M174">
    <cfRule type="expression" dxfId="42" priority="15">
      <formula>L3&lt;0</formula>
    </cfRule>
  </conditionalFormatting>
  <conditionalFormatting sqref="L11:L14 K15:L22">
    <cfRule type="expression" dxfId="41" priority="12">
      <formula>K11&lt;0</formula>
    </cfRule>
  </conditionalFormatting>
  <conditionalFormatting sqref="L9">
    <cfRule type="expression" dxfId="40" priority="11">
      <formula>L9&lt;0</formula>
    </cfRule>
  </conditionalFormatting>
  <conditionalFormatting sqref="K11:K14">
    <cfRule type="expression" dxfId="39" priority="10">
      <formula>K11&lt;0</formula>
    </cfRule>
  </conditionalFormatting>
  <conditionalFormatting sqref="L5:L7">
    <cfRule type="expression" dxfId="38" priority="2">
      <formula>L5&lt;0</formula>
    </cfRule>
  </conditionalFormatting>
  <conditionalFormatting sqref="K5:K7">
    <cfRule type="expression" dxfId="37" priority="1">
      <formula>K5&lt;0</formula>
    </cfRule>
  </conditionalFormatting>
  <dataValidations count="1">
    <dataValidation type="list" allowBlank="1" showInputMessage="1" showErrorMessage="1" sqref="J3:J174" xr:uid="{00000000-0002-0000-0600-000000000000}">
      <formula1>Category</formula1>
    </dataValidation>
  </dataValidations>
  <pageMargins left="0.7" right="0.7" top="0.75" bottom="0.75" header="0.3" footer="0.3"/>
  <pageSetup scale="75" fitToWidth="0" orientation="portrait" r:id="rId1"/>
  <drawing r:id="rId2"/>
  <tableParts count="2">
    <tablePart r:id="rId3"/>
    <tablePart r:id="rId4"/>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2060"/>
    <pageSetUpPr fitToPage="1"/>
  </sheetPr>
  <dimension ref="B1:CT482"/>
  <sheetViews>
    <sheetView showGridLines="0" showRuler="0" topLeftCell="A4" zoomScaleNormal="100" workbookViewId="0">
      <selection activeCell="K54" sqref="K53:K54"/>
    </sheetView>
  </sheetViews>
  <sheetFormatPr defaultColWidth="9.33203125" defaultRowHeight="16.8" x14ac:dyDescent="0.4"/>
  <cols>
    <col min="1" max="1" width="5.44140625" style="135" customWidth="1"/>
    <col min="2" max="2" width="26.44140625" style="135" customWidth="1"/>
    <col min="3" max="5" width="13.33203125" style="135" customWidth="1"/>
    <col min="6" max="6" width="7.44140625" style="135" customWidth="1"/>
    <col min="7" max="7" width="11.6640625" style="137" bestFit="1" customWidth="1"/>
    <col min="8" max="8" width="14.33203125" style="137" customWidth="1"/>
    <col min="9" max="9" width="37.44140625" style="133" customWidth="1"/>
    <col min="10" max="10" width="21" style="137" bestFit="1" customWidth="1"/>
    <col min="11" max="11" width="11.88671875" style="137" bestFit="1" customWidth="1"/>
    <col min="12" max="12" width="9.6640625" style="137" bestFit="1" customWidth="1"/>
    <col min="13" max="13" width="9.88671875" style="137" bestFit="1" customWidth="1"/>
    <col min="14" max="14" width="12.33203125" style="133" hidden="1" customWidth="1"/>
    <col min="15" max="15" width="0.109375" style="133" hidden="1" customWidth="1"/>
    <col min="16" max="16" width="12.44140625" style="133" bestFit="1" customWidth="1"/>
    <col min="17" max="17" width="47" style="154" bestFit="1" customWidth="1"/>
    <col min="18" max="98" width="9.33203125" style="45"/>
    <col min="99" max="16384" width="9.33203125" style="135"/>
  </cols>
  <sheetData>
    <row r="1" spans="2:98" ht="67.95" customHeight="1" x14ac:dyDescent="1.1000000000000001">
      <c r="C1" s="291"/>
      <c r="D1" s="291"/>
      <c r="E1" s="291"/>
      <c r="F1" s="291"/>
      <c r="G1" s="290" t="s">
        <v>162</v>
      </c>
      <c r="H1" s="291"/>
      <c r="I1" s="291"/>
      <c r="J1" s="132"/>
      <c r="K1" s="132"/>
      <c r="L1" s="132"/>
      <c r="M1" s="132"/>
      <c r="Q1" s="134"/>
      <c r="R1" s="135"/>
      <c r="S1" s="135"/>
      <c r="T1" s="135"/>
      <c r="U1" s="135"/>
      <c r="V1" s="135"/>
      <c r="W1" s="135"/>
      <c r="X1" s="135"/>
      <c r="Y1" s="135"/>
      <c r="Z1" s="135"/>
      <c r="AA1" s="135"/>
      <c r="AB1" s="135"/>
      <c r="AC1" s="135"/>
      <c r="AD1" s="135"/>
      <c r="AE1" s="135"/>
      <c r="AF1" s="135"/>
      <c r="AG1" s="135"/>
      <c r="AH1" s="135"/>
      <c r="AI1" s="135"/>
      <c r="AJ1" s="135"/>
      <c r="AK1" s="135"/>
      <c r="AL1" s="135"/>
      <c r="AM1" s="135"/>
      <c r="AN1" s="135"/>
      <c r="AO1" s="135"/>
      <c r="AP1" s="135"/>
      <c r="AQ1" s="135"/>
      <c r="AR1" s="135"/>
      <c r="AS1" s="135"/>
      <c r="AT1" s="135"/>
      <c r="AU1" s="135"/>
      <c r="AV1" s="135"/>
      <c r="AW1" s="135"/>
      <c r="AX1" s="135"/>
      <c r="AY1" s="135"/>
      <c r="AZ1" s="135"/>
      <c r="BA1" s="135"/>
      <c r="BB1" s="135"/>
      <c r="BC1" s="135"/>
      <c r="BD1" s="135"/>
      <c r="BE1" s="135"/>
      <c r="BF1" s="135"/>
      <c r="BG1" s="135"/>
      <c r="BH1" s="135"/>
      <c r="BI1" s="135"/>
      <c r="BJ1" s="135"/>
      <c r="BK1" s="135"/>
      <c r="BL1" s="135"/>
      <c r="BM1" s="135"/>
      <c r="BN1" s="135"/>
      <c r="BO1" s="135"/>
      <c r="BP1" s="135"/>
      <c r="BQ1" s="135"/>
      <c r="BR1" s="135"/>
      <c r="BS1" s="135"/>
      <c r="BT1" s="135"/>
      <c r="BU1" s="135"/>
      <c r="BV1" s="135"/>
      <c r="BW1" s="135"/>
      <c r="BX1" s="135"/>
      <c r="BY1" s="135"/>
      <c r="BZ1" s="135"/>
      <c r="CA1" s="135"/>
      <c r="CB1" s="135"/>
      <c r="CC1" s="135"/>
      <c r="CD1" s="135"/>
      <c r="CE1" s="135"/>
      <c r="CF1" s="135"/>
      <c r="CG1" s="135"/>
      <c r="CH1" s="135"/>
      <c r="CI1" s="135"/>
      <c r="CJ1" s="135"/>
      <c r="CK1" s="135"/>
      <c r="CL1" s="135"/>
      <c r="CM1" s="135"/>
      <c r="CN1" s="135"/>
      <c r="CO1" s="135"/>
      <c r="CP1" s="135"/>
      <c r="CQ1" s="135"/>
      <c r="CR1" s="135"/>
      <c r="CS1" s="135"/>
      <c r="CT1" s="135"/>
    </row>
    <row r="2" spans="2:98" ht="23.85" customHeight="1" x14ac:dyDescent="0.55000000000000004">
      <c r="B2" s="136"/>
      <c r="C2" s="136"/>
      <c r="D2" s="136"/>
      <c r="E2" s="136"/>
      <c r="F2" s="136"/>
      <c r="G2" s="31" t="s">
        <v>12</v>
      </c>
      <c r="H2" s="31" t="s">
        <v>1</v>
      </c>
      <c r="I2" s="32" t="s">
        <v>161</v>
      </c>
      <c r="J2" s="31" t="s">
        <v>4</v>
      </c>
      <c r="K2" s="33" t="s">
        <v>21</v>
      </c>
      <c r="L2" s="33" t="s">
        <v>11</v>
      </c>
      <c r="M2" s="33" t="s">
        <v>3</v>
      </c>
      <c r="N2" s="138" t="s">
        <v>158</v>
      </c>
      <c r="O2" s="139" t="s">
        <v>115</v>
      </c>
      <c r="P2" s="138" t="s">
        <v>341</v>
      </c>
      <c r="Q2" s="140" t="s">
        <v>351</v>
      </c>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c r="AZ2" s="135"/>
      <c r="BA2" s="135"/>
      <c r="BB2" s="135"/>
      <c r="BC2" s="135"/>
      <c r="BD2" s="135"/>
      <c r="BE2" s="135"/>
      <c r="BF2" s="135"/>
      <c r="BG2" s="135"/>
      <c r="BH2" s="135"/>
      <c r="BI2" s="135"/>
      <c r="BJ2" s="135"/>
      <c r="BK2" s="135"/>
      <c r="BL2" s="135"/>
      <c r="BM2" s="135"/>
      <c r="BN2" s="135"/>
      <c r="BO2" s="135"/>
      <c r="BP2" s="135"/>
      <c r="BQ2" s="135"/>
      <c r="BR2" s="135"/>
      <c r="BS2" s="135"/>
      <c r="BT2" s="135"/>
      <c r="BU2" s="135"/>
      <c r="BV2" s="135"/>
      <c r="BW2" s="135"/>
      <c r="BX2" s="135"/>
      <c r="BY2" s="135"/>
      <c r="BZ2" s="135"/>
      <c r="CA2" s="135"/>
      <c r="CB2" s="135"/>
      <c r="CC2" s="135"/>
      <c r="CD2" s="135"/>
      <c r="CE2" s="135"/>
      <c r="CF2" s="135"/>
      <c r="CG2" s="135"/>
      <c r="CH2" s="135"/>
      <c r="CI2" s="135"/>
      <c r="CJ2" s="135"/>
      <c r="CK2" s="135"/>
      <c r="CL2" s="135"/>
      <c r="CM2" s="135"/>
      <c r="CN2" s="135"/>
      <c r="CO2" s="135"/>
      <c r="CP2" s="135"/>
      <c r="CQ2" s="135"/>
      <c r="CR2" s="135"/>
      <c r="CS2" s="135"/>
      <c r="CT2" s="135"/>
    </row>
    <row r="3" spans="2:98" ht="25.95" customHeight="1" x14ac:dyDescent="0.4">
      <c r="B3" s="292" t="str">
        <f>CONCATENATE("Current Balance : "&amp;TEXT(CkReg13_14[[#Totals],[Balance]],"$#,##0.00"))</f>
        <v>Current Balance : $13,932.89</v>
      </c>
      <c r="C3" s="292"/>
      <c r="D3" s="292" t="s">
        <v>626</v>
      </c>
      <c r="E3" s="292"/>
      <c r="F3" s="292"/>
      <c r="G3" s="34"/>
      <c r="H3" s="35">
        <v>41579</v>
      </c>
      <c r="I3" s="34" t="s">
        <v>5</v>
      </c>
      <c r="J3" s="34" t="s">
        <v>5</v>
      </c>
      <c r="K3" s="36"/>
      <c r="L3" s="48">
        <v>11585.98</v>
      </c>
      <c r="M3" s="40">
        <v>11585.98</v>
      </c>
      <c r="N3" s="49" t="s">
        <v>101</v>
      </c>
      <c r="O3" s="46"/>
      <c r="P3" s="50" t="s">
        <v>353</v>
      </c>
      <c r="Q3" s="152"/>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row>
    <row r="4" spans="2:98" ht="24.6" x14ac:dyDescent="0.55000000000000004">
      <c r="B4" s="558" t="s">
        <v>18</v>
      </c>
      <c r="C4" s="558"/>
      <c r="D4" s="143"/>
      <c r="E4" s="143"/>
      <c r="F4" s="136"/>
      <c r="G4" s="34"/>
      <c r="H4" s="39">
        <v>41609</v>
      </c>
      <c r="I4" s="37" t="s">
        <v>159</v>
      </c>
      <c r="J4" s="37" t="s">
        <v>159</v>
      </c>
      <c r="K4" s="48"/>
      <c r="L4" s="38">
        <v>6000</v>
      </c>
      <c r="M4" s="141">
        <f>IF(ISBLANK(CkReg13_14[[#This Row],[Withdrawal]]),M3+CkReg13_14[[#This Row],[Deposit]],M3-CkReg13_14[[#This Row],[Withdrawal]])</f>
        <v>17585.98</v>
      </c>
      <c r="N4" s="49" t="s">
        <v>101</v>
      </c>
      <c r="O4" s="46"/>
      <c r="P4" s="50" t="s">
        <v>353</v>
      </c>
      <c r="Q4" s="152"/>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row>
    <row r="5" spans="2:98" ht="20.399999999999999" customHeight="1" x14ac:dyDescent="0.55000000000000004">
      <c r="B5" s="142" t="s">
        <v>4</v>
      </c>
      <c r="C5" s="144" t="s">
        <v>0</v>
      </c>
      <c r="D5" s="144" t="s">
        <v>75</v>
      </c>
      <c r="E5" s="144" t="s">
        <v>76</v>
      </c>
      <c r="F5" s="136"/>
      <c r="G5" s="34"/>
      <c r="H5" s="39">
        <v>41609</v>
      </c>
      <c r="I5" s="37" t="s">
        <v>55</v>
      </c>
      <c r="J5" s="37" t="s">
        <v>55</v>
      </c>
      <c r="K5" s="48">
        <v>2000</v>
      </c>
      <c r="L5" s="48"/>
      <c r="M5" s="141">
        <f>IF(ISBLANK(CkReg13_14[[#This Row],[Withdrawal]]),M4+CkReg13_14[[#This Row],[Deposit]],M4-CkReg13_14[[#This Row],[Withdrawal]])</f>
        <v>15585.98</v>
      </c>
      <c r="N5" s="49" t="s">
        <v>101</v>
      </c>
      <c r="O5" s="46"/>
      <c r="P5" s="50" t="s">
        <v>353</v>
      </c>
      <c r="Q5" s="152"/>
      <c r="R5" s="135"/>
      <c r="S5" s="135"/>
      <c r="T5" s="135"/>
      <c r="U5" s="135"/>
      <c r="V5" s="135"/>
      <c r="W5" s="135"/>
      <c r="X5" s="135"/>
      <c r="Y5" s="135"/>
      <c r="Z5" s="135"/>
      <c r="AA5" s="135"/>
      <c r="AB5" s="135"/>
      <c r="AC5" s="135"/>
      <c r="AD5" s="135"/>
      <c r="AE5" s="135"/>
      <c r="AF5" s="135"/>
      <c r="AG5" s="135"/>
      <c r="AH5" s="135"/>
      <c r="AI5" s="135"/>
      <c r="AJ5" s="135"/>
      <c r="AK5" s="135"/>
      <c r="AL5" s="135"/>
      <c r="AM5" s="135"/>
      <c r="AN5" s="135"/>
      <c r="AO5" s="135"/>
      <c r="AP5" s="135"/>
      <c r="AQ5" s="135"/>
      <c r="AR5" s="135"/>
      <c r="AS5" s="135"/>
      <c r="AT5" s="135"/>
      <c r="AU5" s="135"/>
      <c r="AV5" s="135"/>
      <c r="AW5" s="135"/>
      <c r="AX5" s="135"/>
      <c r="AY5" s="135"/>
      <c r="AZ5" s="135"/>
      <c r="BA5" s="135"/>
      <c r="BB5" s="135"/>
      <c r="BC5" s="135"/>
      <c r="BD5" s="135"/>
      <c r="BE5" s="135"/>
      <c r="BF5" s="135"/>
      <c r="BG5" s="135"/>
      <c r="BH5" s="135"/>
      <c r="BI5" s="135"/>
      <c r="BJ5" s="135"/>
      <c r="BK5" s="135"/>
      <c r="BL5" s="135"/>
      <c r="BM5" s="135"/>
      <c r="BN5" s="135"/>
      <c r="BO5" s="135"/>
      <c r="BP5" s="135"/>
      <c r="BQ5" s="135"/>
      <c r="BR5" s="135"/>
      <c r="BS5" s="135"/>
      <c r="BT5" s="135"/>
      <c r="BU5" s="135"/>
      <c r="BV5" s="135"/>
      <c r="BW5" s="135"/>
      <c r="BX5" s="135"/>
      <c r="BY5" s="135"/>
      <c r="BZ5" s="135"/>
      <c r="CA5" s="135"/>
      <c r="CB5" s="135"/>
      <c r="CC5" s="135"/>
      <c r="CD5" s="135"/>
      <c r="CE5" s="135"/>
      <c r="CF5" s="135"/>
      <c r="CG5" s="135"/>
      <c r="CH5" s="135"/>
      <c r="CI5" s="135"/>
      <c r="CJ5" s="135"/>
      <c r="CK5" s="135"/>
      <c r="CL5" s="135"/>
      <c r="CM5" s="135"/>
      <c r="CN5" s="135"/>
      <c r="CO5" s="135"/>
      <c r="CP5" s="135"/>
      <c r="CQ5" s="135"/>
      <c r="CR5" s="135"/>
      <c r="CS5" s="135"/>
      <c r="CT5" s="135"/>
    </row>
    <row r="6" spans="2:98" ht="20.399999999999999" customHeight="1" x14ac:dyDescent="0.55000000000000004">
      <c r="B6" s="145" t="s">
        <v>5</v>
      </c>
      <c r="C6" s="146">
        <f>SUMIF(CkReg13_14[Category],"=" &amp;CategoryTable8[[#This Row],[Category]],CkReg13_14[Deposit])</f>
        <v>11585.98</v>
      </c>
      <c r="D6" s="146">
        <v>13297</v>
      </c>
      <c r="E6" s="146">
        <f>+CategoryTable8[[#This Row],[Total]]-CategoryTable8[[#This Row],[Budget]]</f>
        <v>-1711.0200000000004</v>
      </c>
      <c r="F6" s="136"/>
      <c r="G6" s="34"/>
      <c r="H6" s="39">
        <v>41609</v>
      </c>
      <c r="I6" s="37" t="s">
        <v>56</v>
      </c>
      <c r="J6" s="37" t="s">
        <v>56</v>
      </c>
      <c r="K6" s="48">
        <v>3000</v>
      </c>
      <c r="L6" s="48"/>
      <c r="M6" s="141">
        <f>IF(ISBLANK(CkReg13_14[[#This Row],[Withdrawal]]),M5+CkReg13_14[[#This Row],[Deposit]],M5-CkReg13_14[[#This Row],[Withdrawal]])</f>
        <v>12585.98</v>
      </c>
      <c r="N6" s="49" t="s">
        <v>101</v>
      </c>
      <c r="O6" s="46"/>
      <c r="P6" s="50" t="s">
        <v>353</v>
      </c>
      <c r="Q6" s="152"/>
      <c r="R6" s="135"/>
      <c r="S6" s="135"/>
      <c r="T6" s="135"/>
      <c r="U6" s="135"/>
      <c r="V6" s="135"/>
      <c r="W6" s="135"/>
      <c r="X6" s="135"/>
      <c r="Y6" s="135"/>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135"/>
      <c r="AX6" s="135"/>
      <c r="AY6" s="135"/>
      <c r="AZ6" s="135"/>
      <c r="BA6" s="135"/>
      <c r="BB6" s="135"/>
      <c r="BC6" s="135"/>
      <c r="BD6" s="135"/>
      <c r="BE6" s="135"/>
      <c r="BF6" s="135"/>
      <c r="BG6" s="135"/>
      <c r="BH6" s="135"/>
      <c r="BI6" s="135"/>
      <c r="BJ6" s="135"/>
      <c r="BK6" s="135"/>
      <c r="BL6" s="135"/>
      <c r="BM6" s="135"/>
      <c r="BN6" s="135"/>
      <c r="BO6" s="135"/>
      <c r="BP6" s="135"/>
      <c r="BQ6" s="135"/>
      <c r="BR6" s="135"/>
      <c r="BS6" s="135"/>
      <c r="BT6" s="135"/>
      <c r="BU6" s="135"/>
      <c r="BV6" s="135"/>
      <c r="BW6" s="135"/>
      <c r="BX6" s="135"/>
      <c r="BY6" s="135"/>
      <c r="BZ6" s="135"/>
      <c r="CA6" s="135"/>
      <c r="CB6" s="135"/>
      <c r="CC6" s="135"/>
      <c r="CD6" s="135"/>
      <c r="CE6" s="135"/>
      <c r="CF6" s="135"/>
      <c r="CG6" s="135"/>
      <c r="CH6" s="135"/>
      <c r="CI6" s="135"/>
      <c r="CJ6" s="135"/>
      <c r="CK6" s="135"/>
      <c r="CL6" s="135"/>
      <c r="CM6" s="135"/>
      <c r="CN6" s="135"/>
      <c r="CO6" s="135"/>
      <c r="CP6" s="135"/>
      <c r="CQ6" s="135"/>
      <c r="CR6" s="135"/>
      <c r="CS6" s="135"/>
      <c r="CT6" s="135"/>
    </row>
    <row r="7" spans="2:98" ht="20.399999999999999" customHeight="1" x14ac:dyDescent="0.55000000000000004">
      <c r="B7" s="145" t="s">
        <v>159</v>
      </c>
      <c r="C7" s="146">
        <f>SUMIF(CkReg13_14[Category],"=" &amp;CategoryTable8[[#This Row],[Category]],CkReg13_14[Deposit])</f>
        <v>6000</v>
      </c>
      <c r="D7" s="146">
        <v>0</v>
      </c>
      <c r="E7" s="146">
        <f>+CategoryTable8[[#This Row],[Total]]-CategoryTable8[[#This Row],[Budget]]</f>
        <v>6000</v>
      </c>
      <c r="F7" s="136"/>
      <c r="G7" s="34"/>
      <c r="H7" s="39">
        <v>41609</v>
      </c>
      <c r="I7" s="37" t="s">
        <v>57</v>
      </c>
      <c r="J7" s="37" t="s">
        <v>57</v>
      </c>
      <c r="K7" s="48">
        <v>1000</v>
      </c>
      <c r="L7" s="48"/>
      <c r="M7" s="141">
        <f>IF(ISBLANK(CkReg13_14[[#This Row],[Withdrawal]]),M6+CkReg13_14[[#This Row],[Deposit]],M6-CkReg13_14[[#This Row],[Withdrawal]])</f>
        <v>11585.98</v>
      </c>
      <c r="N7" s="49" t="s">
        <v>101</v>
      </c>
      <c r="O7" s="46"/>
      <c r="P7" s="50" t="s">
        <v>353</v>
      </c>
      <c r="Q7" s="152"/>
      <c r="R7" s="135"/>
      <c r="S7" s="135"/>
      <c r="T7" s="135"/>
      <c r="U7" s="135"/>
      <c r="V7" s="135"/>
      <c r="W7" s="135"/>
      <c r="X7" s="135"/>
      <c r="Y7" s="135"/>
      <c r="Z7" s="135"/>
      <c r="AA7" s="135"/>
      <c r="AB7" s="135"/>
      <c r="AC7" s="135"/>
      <c r="AD7" s="135"/>
      <c r="AE7" s="135"/>
      <c r="AF7" s="135"/>
      <c r="AG7" s="135"/>
      <c r="AH7" s="135"/>
      <c r="AI7" s="135"/>
      <c r="AJ7" s="135"/>
      <c r="AK7" s="135"/>
      <c r="AL7" s="135"/>
      <c r="AM7" s="135"/>
      <c r="AN7" s="135"/>
      <c r="AO7" s="135"/>
      <c r="AP7" s="135"/>
      <c r="AQ7" s="135"/>
      <c r="AR7" s="135"/>
      <c r="AS7" s="135"/>
      <c r="AT7" s="135"/>
      <c r="AU7" s="135"/>
      <c r="AV7" s="135"/>
      <c r="AW7" s="135"/>
      <c r="AX7" s="135"/>
      <c r="AY7" s="135"/>
      <c r="AZ7" s="135"/>
      <c r="BA7" s="135"/>
      <c r="BB7" s="135"/>
      <c r="BC7" s="135"/>
      <c r="BD7" s="135"/>
      <c r="BE7" s="135"/>
      <c r="BF7" s="135"/>
      <c r="BG7" s="135"/>
      <c r="BH7" s="135"/>
      <c r="BI7" s="135"/>
      <c r="BJ7" s="135"/>
      <c r="BK7" s="135"/>
      <c r="BL7" s="135"/>
      <c r="BM7" s="135"/>
      <c r="BN7" s="135"/>
      <c r="BO7" s="135"/>
      <c r="BP7" s="135"/>
      <c r="BQ7" s="135"/>
      <c r="BR7" s="135"/>
      <c r="BS7" s="135"/>
      <c r="BT7" s="135"/>
      <c r="BU7" s="135"/>
      <c r="BV7" s="135"/>
      <c r="BW7" s="135"/>
      <c r="BX7" s="135"/>
      <c r="BY7" s="135"/>
      <c r="BZ7" s="135"/>
      <c r="CA7" s="135"/>
      <c r="CB7" s="135"/>
      <c r="CC7" s="135"/>
      <c r="CD7" s="135"/>
      <c r="CE7" s="135"/>
      <c r="CF7" s="135"/>
      <c r="CG7" s="135"/>
      <c r="CH7" s="135"/>
      <c r="CI7" s="135"/>
      <c r="CJ7" s="135"/>
      <c r="CK7" s="135"/>
      <c r="CL7" s="135"/>
      <c r="CM7" s="135"/>
      <c r="CN7" s="135"/>
      <c r="CO7" s="135"/>
      <c r="CP7" s="135"/>
      <c r="CQ7" s="135"/>
      <c r="CR7" s="135"/>
      <c r="CS7" s="135"/>
      <c r="CT7" s="135"/>
    </row>
    <row r="8" spans="2:98" ht="20.399999999999999" customHeight="1" x14ac:dyDescent="0.55000000000000004">
      <c r="B8" s="145" t="s">
        <v>32</v>
      </c>
      <c r="C8" s="146">
        <f>SUMIF(CkReg13_14[Category],"=" &amp;CategoryTable8[[#This Row],[Category]],CkReg13_14[Deposit])</f>
        <v>785.24</v>
      </c>
      <c r="D8" s="146">
        <v>600</v>
      </c>
      <c r="E8" s="146">
        <f>+CategoryTable8[[#This Row],[Total]]-CategoryTable8[[#This Row],[Budget]]</f>
        <v>185.24</v>
      </c>
      <c r="F8" s="136"/>
      <c r="G8" s="37">
        <v>3087</v>
      </c>
      <c r="H8" s="39">
        <v>41615</v>
      </c>
      <c r="I8" s="37" t="s">
        <v>167</v>
      </c>
      <c r="J8" s="37" t="s">
        <v>49</v>
      </c>
      <c r="K8" s="48">
        <v>22.88</v>
      </c>
      <c r="L8" s="48"/>
      <c r="M8" s="141">
        <f>IF(ISBLANK(CkReg13_14[[#This Row],[Withdrawal]]),M7+CkReg13_14[[#This Row],[Deposit]],M7-CkReg13_14[[#This Row],[Withdrawal]])</f>
        <v>11563.1</v>
      </c>
      <c r="N8" s="49" t="s">
        <v>101</v>
      </c>
      <c r="O8" s="46"/>
      <c r="P8" s="50">
        <v>41617</v>
      </c>
      <c r="Q8" s="152"/>
      <c r="R8" s="135"/>
      <c r="S8" s="135"/>
      <c r="T8" s="135"/>
      <c r="U8" s="135"/>
      <c r="V8" s="135"/>
      <c r="W8" s="135"/>
      <c r="X8" s="135"/>
      <c r="Y8" s="135"/>
      <c r="Z8" s="135"/>
      <c r="AA8" s="135"/>
      <c r="AB8" s="135"/>
      <c r="AC8" s="135"/>
      <c r="AD8" s="135"/>
      <c r="AE8" s="135"/>
      <c r="AF8" s="135"/>
      <c r="AG8" s="135"/>
      <c r="AH8" s="135"/>
      <c r="AI8" s="135"/>
      <c r="AJ8" s="135"/>
      <c r="AK8" s="135"/>
      <c r="AL8" s="135"/>
      <c r="AM8" s="135"/>
      <c r="AN8" s="135"/>
      <c r="AO8" s="135"/>
      <c r="AP8" s="135"/>
      <c r="AQ8" s="135"/>
      <c r="AR8" s="135"/>
      <c r="AS8" s="135"/>
      <c r="AT8" s="135"/>
      <c r="AU8" s="135"/>
      <c r="AV8" s="135"/>
      <c r="AW8" s="135"/>
      <c r="AX8" s="135"/>
      <c r="AY8" s="135"/>
      <c r="AZ8" s="135"/>
      <c r="BA8" s="135"/>
      <c r="BB8" s="135"/>
      <c r="BC8" s="135"/>
      <c r="BD8" s="135"/>
      <c r="BE8" s="135"/>
      <c r="BF8" s="135"/>
      <c r="BG8" s="135"/>
      <c r="BH8" s="135"/>
      <c r="BI8" s="135"/>
      <c r="BJ8" s="135"/>
      <c r="BK8" s="135"/>
      <c r="BL8" s="135"/>
      <c r="BM8" s="135"/>
      <c r="BN8" s="135"/>
      <c r="BO8" s="135"/>
      <c r="BP8" s="135"/>
      <c r="BQ8" s="135"/>
      <c r="BR8" s="135"/>
      <c r="BS8" s="135"/>
      <c r="BT8" s="135"/>
      <c r="BU8" s="135"/>
      <c r="BV8" s="135"/>
      <c r="BW8" s="135"/>
      <c r="BX8" s="135"/>
      <c r="BY8" s="135"/>
      <c r="BZ8" s="135"/>
      <c r="CA8" s="135"/>
      <c r="CB8" s="135"/>
      <c r="CC8" s="135"/>
      <c r="CD8" s="135"/>
      <c r="CE8" s="135"/>
      <c r="CF8" s="135"/>
      <c r="CG8" s="135"/>
      <c r="CH8" s="135"/>
      <c r="CI8" s="135"/>
      <c r="CJ8" s="135"/>
      <c r="CK8" s="135"/>
      <c r="CL8" s="135"/>
      <c r="CM8" s="135"/>
      <c r="CN8" s="135"/>
      <c r="CO8" s="135"/>
      <c r="CP8" s="135"/>
      <c r="CQ8" s="135"/>
      <c r="CR8" s="135"/>
      <c r="CS8" s="135"/>
      <c r="CT8" s="135"/>
    </row>
    <row r="9" spans="2:98" ht="20.399999999999999" customHeight="1" x14ac:dyDescent="0.55000000000000004">
      <c r="B9" s="145" t="s">
        <v>33</v>
      </c>
      <c r="C9" s="146">
        <f>SUMIF(CkReg13_14[Category],"=" &amp;CategoryTable8[[#This Row],[Category]],CkReg13_14[Deposit])</f>
        <v>1782.81</v>
      </c>
      <c r="D9" s="146">
        <v>500</v>
      </c>
      <c r="E9" s="146">
        <f>+CategoryTable8[[#This Row],[Total]]-CategoryTable8[[#This Row],[Budget]]</f>
        <v>1282.81</v>
      </c>
      <c r="F9" s="136"/>
      <c r="G9" s="37">
        <v>3088</v>
      </c>
      <c r="H9" s="39">
        <v>41615</v>
      </c>
      <c r="I9" s="37" t="s">
        <v>168</v>
      </c>
      <c r="J9" s="37" t="s">
        <v>39</v>
      </c>
      <c r="K9" s="48">
        <v>51.15</v>
      </c>
      <c r="L9" s="48"/>
      <c r="M9" s="141">
        <f>IF(ISBLANK(CkReg13_14[[#This Row],[Withdrawal]]),M8+CkReg13_14[[#This Row],[Deposit]],M8-CkReg13_14[[#This Row],[Withdrawal]])</f>
        <v>11511.95</v>
      </c>
      <c r="N9" s="49" t="s">
        <v>101</v>
      </c>
      <c r="O9" s="46"/>
      <c r="P9" s="50">
        <v>41619</v>
      </c>
      <c r="Q9" s="152"/>
      <c r="R9" s="135"/>
      <c r="S9" s="135"/>
      <c r="T9" s="135"/>
      <c r="U9" s="135"/>
      <c r="V9" s="135"/>
      <c r="W9" s="135"/>
      <c r="X9" s="135"/>
      <c r="Y9" s="135"/>
      <c r="Z9" s="135"/>
      <c r="AA9" s="135"/>
      <c r="AB9" s="135"/>
      <c r="AC9" s="135"/>
      <c r="AD9" s="135"/>
      <c r="AE9" s="135"/>
      <c r="AF9" s="135"/>
      <c r="AG9" s="135"/>
      <c r="AH9" s="135"/>
      <c r="AI9" s="135"/>
      <c r="AJ9" s="135"/>
      <c r="AK9" s="135"/>
      <c r="AL9" s="135"/>
      <c r="AM9" s="135"/>
      <c r="AN9" s="135"/>
      <c r="AO9" s="135"/>
      <c r="AP9" s="135"/>
      <c r="AQ9" s="135"/>
      <c r="AR9" s="135"/>
      <c r="AS9" s="135"/>
      <c r="AT9" s="135"/>
      <c r="AU9" s="135"/>
      <c r="AV9" s="135"/>
      <c r="AW9" s="135"/>
      <c r="AX9" s="135"/>
      <c r="AY9" s="135"/>
      <c r="AZ9" s="135"/>
      <c r="BA9" s="135"/>
      <c r="BB9" s="135"/>
      <c r="BC9" s="135"/>
      <c r="BD9" s="135"/>
      <c r="BE9" s="135"/>
      <c r="BF9" s="135"/>
      <c r="BG9" s="135"/>
      <c r="BH9" s="135"/>
      <c r="BI9" s="135"/>
      <c r="BJ9" s="135"/>
      <c r="BK9" s="135"/>
      <c r="BL9" s="135"/>
      <c r="BM9" s="135"/>
      <c r="BN9" s="135"/>
      <c r="BO9" s="135"/>
      <c r="BP9" s="135"/>
      <c r="BQ9" s="135"/>
      <c r="BR9" s="135"/>
      <c r="BS9" s="135"/>
      <c r="BT9" s="135"/>
      <c r="BU9" s="135"/>
      <c r="BV9" s="135"/>
      <c r="BW9" s="135"/>
      <c r="BX9" s="135"/>
      <c r="BY9" s="135"/>
      <c r="BZ9" s="135"/>
      <c r="CA9" s="135"/>
      <c r="CB9" s="135"/>
      <c r="CC9" s="135"/>
      <c r="CD9" s="135"/>
      <c r="CE9" s="135"/>
      <c r="CF9" s="135"/>
      <c r="CG9" s="135"/>
      <c r="CH9" s="135"/>
      <c r="CI9" s="135"/>
      <c r="CJ9" s="135"/>
      <c r="CK9" s="135"/>
      <c r="CL9" s="135"/>
      <c r="CM9" s="135"/>
      <c r="CN9" s="135"/>
      <c r="CO9" s="135"/>
      <c r="CP9" s="135"/>
      <c r="CQ9" s="135"/>
      <c r="CR9" s="135"/>
      <c r="CS9" s="135"/>
      <c r="CT9" s="135"/>
    </row>
    <row r="10" spans="2:98" ht="20.399999999999999" customHeight="1" x14ac:dyDescent="0.55000000000000004">
      <c r="B10" s="145" t="s">
        <v>34</v>
      </c>
      <c r="C10" s="146">
        <f>-(SUMIF(CkReg13_14[Category],"=" &amp;CategoryTable8[[#This Row],[Category]],CkReg13_14[Withdrawal]))</f>
        <v>-2001.9800000000002</v>
      </c>
      <c r="D10" s="146">
        <v>-1700</v>
      </c>
      <c r="E10" s="146">
        <f>+CategoryTable8[[#This Row],[Total]]-CategoryTable8[[#This Row],[Budget]]</f>
        <v>-301.98000000000025</v>
      </c>
      <c r="F10" s="136"/>
      <c r="G10" s="37">
        <v>3088</v>
      </c>
      <c r="H10" s="39">
        <v>41615</v>
      </c>
      <c r="I10" s="37" t="s">
        <v>169</v>
      </c>
      <c r="J10" s="37" t="s">
        <v>57</v>
      </c>
      <c r="K10" s="48">
        <v>46.1</v>
      </c>
      <c r="L10" s="48"/>
      <c r="M10" s="141">
        <f>IF(ISBLANK(CkReg13_14[[#This Row],[Withdrawal]]),M9+CkReg13_14[[#This Row],[Deposit]],M9-CkReg13_14[[#This Row],[Withdrawal]])</f>
        <v>11465.85</v>
      </c>
      <c r="N10" s="49" t="s">
        <v>101</v>
      </c>
      <c r="O10" s="46"/>
      <c r="P10" s="50">
        <v>41619</v>
      </c>
      <c r="Q10" s="152"/>
      <c r="R10" s="135"/>
      <c r="S10" s="135"/>
      <c r="T10" s="135"/>
      <c r="U10" s="135"/>
      <c r="V10" s="135"/>
      <c r="W10" s="135"/>
      <c r="X10" s="135"/>
      <c r="Y10" s="135"/>
      <c r="Z10" s="135"/>
      <c r="AA10" s="135"/>
      <c r="AB10" s="135"/>
      <c r="AC10" s="135"/>
      <c r="AD10" s="135"/>
      <c r="AE10" s="135"/>
      <c r="AF10" s="135"/>
      <c r="AG10" s="135"/>
      <c r="AH10" s="135"/>
      <c r="AI10" s="135"/>
      <c r="AJ10" s="135"/>
      <c r="AK10" s="135"/>
      <c r="AL10" s="135"/>
      <c r="AM10" s="135"/>
      <c r="AN10" s="135"/>
      <c r="AO10" s="135"/>
      <c r="AP10" s="135"/>
      <c r="AQ10" s="135"/>
      <c r="AR10" s="135"/>
      <c r="AS10" s="135"/>
      <c r="AT10" s="135"/>
      <c r="AU10" s="135"/>
      <c r="AV10" s="135"/>
      <c r="AW10" s="135"/>
      <c r="AX10" s="135"/>
      <c r="AY10" s="135"/>
      <c r="AZ10" s="135"/>
      <c r="BA10" s="135"/>
      <c r="BB10" s="135"/>
      <c r="BC10" s="135"/>
      <c r="BD10" s="135"/>
      <c r="BE10" s="135"/>
      <c r="BF10" s="135"/>
      <c r="BG10" s="135"/>
      <c r="BH10" s="135"/>
      <c r="BI10" s="135"/>
      <c r="BJ10" s="135"/>
      <c r="BK10" s="135"/>
      <c r="BL10" s="135"/>
      <c r="BM10" s="135"/>
      <c r="BN10" s="135"/>
      <c r="BO10" s="135"/>
      <c r="BP10" s="135"/>
      <c r="BQ10" s="135"/>
      <c r="BR10" s="135"/>
      <c r="BS10" s="135"/>
      <c r="BT10" s="135"/>
      <c r="BU10" s="135"/>
      <c r="BV10" s="135"/>
      <c r="BW10" s="135"/>
      <c r="BX10" s="135"/>
      <c r="BY10" s="135"/>
      <c r="BZ10" s="135"/>
      <c r="CA10" s="135"/>
      <c r="CB10" s="135"/>
      <c r="CC10" s="135"/>
      <c r="CD10" s="135"/>
      <c r="CE10" s="135"/>
      <c r="CF10" s="135"/>
      <c r="CG10" s="135"/>
      <c r="CH10" s="135"/>
      <c r="CI10" s="135"/>
      <c r="CJ10" s="135"/>
      <c r="CK10" s="135"/>
      <c r="CL10" s="135"/>
      <c r="CM10" s="135"/>
      <c r="CN10" s="135"/>
      <c r="CO10" s="135"/>
      <c r="CP10" s="135"/>
      <c r="CQ10" s="135"/>
      <c r="CR10" s="135"/>
      <c r="CS10" s="135"/>
      <c r="CT10" s="135"/>
    </row>
    <row r="11" spans="2:98" ht="20.399999999999999" customHeight="1" x14ac:dyDescent="0.55000000000000004">
      <c r="B11" s="145" t="s">
        <v>160</v>
      </c>
      <c r="C11" s="146">
        <f>-(SUMIF(CkReg13_14[Category],"=" &amp;CategoryTable8[[#This Row],[Category]],CkReg13_14[Withdrawal]))</f>
        <v>-500</v>
      </c>
      <c r="D11" s="146">
        <v>-2000</v>
      </c>
      <c r="E11" s="146">
        <f>+CategoryTable8[[#This Row],[Total]]-CategoryTable8[[#This Row],[Budget]]</f>
        <v>1500</v>
      </c>
      <c r="F11" s="136"/>
      <c r="G11" s="37">
        <v>3089</v>
      </c>
      <c r="H11" s="39">
        <v>41615</v>
      </c>
      <c r="I11" s="37" t="s">
        <v>138</v>
      </c>
      <c r="J11" s="37" t="s">
        <v>69</v>
      </c>
      <c r="K11" s="48">
        <v>200</v>
      </c>
      <c r="L11" s="48"/>
      <c r="M11" s="141">
        <f>IF(ISBLANK(CkReg13_14[[#This Row],[Withdrawal]]),M10+CkReg13_14[[#This Row],[Deposit]],M10-CkReg13_14[[#This Row],[Withdrawal]])</f>
        <v>11265.85</v>
      </c>
      <c r="N11" s="49" t="s">
        <v>101</v>
      </c>
      <c r="O11" s="46"/>
      <c r="P11" s="50">
        <v>41675</v>
      </c>
      <c r="Q11" s="152"/>
      <c r="R11" s="135"/>
      <c r="S11" s="135"/>
      <c r="T11" s="135"/>
      <c r="U11" s="135"/>
      <c r="V11" s="135"/>
      <c r="W11" s="135"/>
      <c r="X11" s="135"/>
      <c r="Y11" s="135"/>
      <c r="Z11" s="135"/>
      <c r="AA11" s="135"/>
      <c r="AB11" s="135"/>
      <c r="AC11" s="135"/>
      <c r="AD11" s="135"/>
      <c r="AE11" s="135"/>
      <c r="AF11" s="135"/>
      <c r="AG11" s="135"/>
      <c r="AH11" s="135"/>
      <c r="AI11" s="135"/>
      <c r="AJ11" s="135"/>
      <c r="AK11" s="135"/>
      <c r="AL11" s="135"/>
      <c r="AM11" s="135"/>
      <c r="AN11" s="135"/>
      <c r="AO11" s="135"/>
      <c r="AP11" s="135"/>
      <c r="AQ11" s="135"/>
      <c r="AR11" s="135"/>
      <c r="AS11" s="135"/>
      <c r="AT11" s="135"/>
      <c r="AU11" s="135"/>
      <c r="AV11" s="135"/>
      <c r="AW11" s="135"/>
      <c r="AX11" s="135"/>
      <c r="AY11" s="135"/>
      <c r="AZ11" s="135"/>
      <c r="BA11" s="135"/>
      <c r="BB11" s="135"/>
      <c r="BC11" s="135"/>
      <c r="BD11" s="135"/>
      <c r="BE11" s="135"/>
      <c r="BF11" s="135"/>
      <c r="BG11" s="135"/>
      <c r="BH11" s="135"/>
      <c r="BI11" s="135"/>
      <c r="BJ11" s="135"/>
      <c r="BK11" s="135"/>
      <c r="BL11" s="135"/>
      <c r="BM11" s="135"/>
      <c r="BN11" s="135"/>
      <c r="BO11" s="135"/>
      <c r="BP11" s="135"/>
      <c r="BQ11" s="135"/>
      <c r="BR11" s="135"/>
      <c r="BS11" s="135"/>
      <c r="BT11" s="135"/>
      <c r="BU11" s="135"/>
      <c r="BV11" s="135"/>
      <c r="BW11" s="135"/>
      <c r="BX11" s="135"/>
      <c r="BY11" s="135"/>
      <c r="BZ11" s="135"/>
      <c r="CA11" s="135"/>
      <c r="CB11" s="135"/>
      <c r="CC11" s="135"/>
      <c r="CD11" s="135"/>
      <c r="CE11" s="135"/>
      <c r="CF11" s="135"/>
      <c r="CG11" s="135"/>
      <c r="CH11" s="135"/>
      <c r="CI11" s="135"/>
      <c r="CJ11" s="135"/>
      <c r="CK11" s="135"/>
      <c r="CL11" s="135"/>
      <c r="CM11" s="135"/>
      <c r="CN11" s="135"/>
      <c r="CO11" s="135"/>
      <c r="CP11" s="135"/>
      <c r="CQ11" s="135"/>
      <c r="CR11" s="135"/>
      <c r="CS11" s="135"/>
      <c r="CT11" s="135"/>
    </row>
    <row r="12" spans="2:98" ht="20.399999999999999" customHeight="1" x14ac:dyDescent="0.55000000000000004">
      <c r="B12" s="145" t="s">
        <v>35</v>
      </c>
      <c r="C12" s="146">
        <f>-(SUMIF(CkReg13_14[Category],"=" &amp;CategoryTable8[[#This Row],[Category]],CkReg13_14[Withdrawal]))</f>
        <v>0</v>
      </c>
      <c r="D12" s="146">
        <v>0</v>
      </c>
      <c r="E12" s="146">
        <f>+CategoryTable8[[#This Row],[Total]]-CategoryTable8[[#This Row],[Budget]]</f>
        <v>0</v>
      </c>
      <c r="F12" s="136"/>
      <c r="G12" s="37">
        <v>3090</v>
      </c>
      <c r="H12" s="39">
        <v>41615</v>
      </c>
      <c r="I12" s="37" t="s">
        <v>170</v>
      </c>
      <c r="J12" s="37" t="s">
        <v>34</v>
      </c>
      <c r="K12" s="48">
        <v>75</v>
      </c>
      <c r="L12" s="48"/>
      <c r="M12" s="141">
        <f>IF(ISBLANK(CkReg13_14[[#This Row],[Withdrawal]]),M11+CkReg13_14[[#This Row],[Deposit]],M11-CkReg13_14[[#This Row],[Withdrawal]])</f>
        <v>11190.85</v>
      </c>
      <c r="N12" s="49" t="s">
        <v>101</v>
      </c>
      <c r="O12" s="46"/>
      <c r="P12" s="50">
        <v>41670</v>
      </c>
      <c r="Q12" s="152"/>
      <c r="R12" s="135"/>
      <c r="S12" s="135"/>
      <c r="T12" s="135"/>
      <c r="U12" s="135"/>
      <c r="V12" s="135"/>
      <c r="W12" s="135"/>
      <c r="X12" s="135"/>
      <c r="Y12" s="135"/>
      <c r="Z12" s="135"/>
      <c r="AA12" s="135"/>
      <c r="AB12" s="135"/>
      <c r="AC12" s="135"/>
      <c r="AD12" s="135"/>
      <c r="AE12" s="135"/>
      <c r="AF12" s="135"/>
      <c r="AG12" s="135"/>
      <c r="AH12" s="135"/>
      <c r="AI12" s="135"/>
      <c r="AJ12" s="135"/>
      <c r="AK12" s="135"/>
      <c r="AL12" s="135"/>
      <c r="AM12" s="135"/>
      <c r="AN12" s="135"/>
      <c r="AO12" s="135"/>
      <c r="AP12" s="135"/>
      <c r="AQ12" s="135"/>
      <c r="AR12" s="135"/>
      <c r="AS12" s="135"/>
      <c r="AT12" s="135"/>
      <c r="AU12" s="135"/>
      <c r="AV12" s="135"/>
      <c r="AW12" s="135"/>
      <c r="AX12" s="135"/>
      <c r="AY12" s="135"/>
      <c r="AZ12" s="135"/>
      <c r="BA12" s="135"/>
      <c r="BB12" s="135"/>
      <c r="BC12" s="135"/>
      <c r="BD12" s="135"/>
      <c r="BE12" s="135"/>
      <c r="BF12" s="135"/>
      <c r="BG12" s="135"/>
      <c r="BH12" s="135"/>
      <c r="BI12" s="135"/>
      <c r="BJ12" s="135"/>
      <c r="BK12" s="135"/>
      <c r="BL12" s="135"/>
      <c r="BM12" s="135"/>
      <c r="BN12" s="135"/>
      <c r="BO12" s="135"/>
      <c r="BP12" s="135"/>
      <c r="BQ12" s="135"/>
      <c r="BR12" s="135"/>
      <c r="BS12" s="135"/>
      <c r="BT12" s="135"/>
      <c r="BU12" s="135"/>
      <c r="BV12" s="135"/>
      <c r="BW12" s="135"/>
      <c r="BX12" s="135"/>
      <c r="BY12" s="135"/>
      <c r="BZ12" s="135"/>
      <c r="CA12" s="135"/>
      <c r="CB12" s="135"/>
      <c r="CC12" s="135"/>
      <c r="CD12" s="135"/>
      <c r="CE12" s="135"/>
      <c r="CF12" s="135"/>
      <c r="CG12" s="135"/>
      <c r="CH12" s="135"/>
      <c r="CI12" s="135"/>
      <c r="CJ12" s="135"/>
      <c r="CK12" s="135"/>
      <c r="CL12" s="135"/>
      <c r="CM12" s="135"/>
      <c r="CN12" s="135"/>
      <c r="CO12" s="135"/>
      <c r="CP12" s="135"/>
      <c r="CQ12" s="135"/>
      <c r="CR12" s="135"/>
      <c r="CS12" s="135"/>
      <c r="CT12" s="135"/>
    </row>
    <row r="13" spans="2:98" ht="20.399999999999999" customHeight="1" x14ac:dyDescent="0.55000000000000004">
      <c r="B13" s="145" t="s">
        <v>36</v>
      </c>
      <c r="C13" s="146">
        <f>-(SUMIF(CkReg13_14[Category],"=" &amp;CategoryTable8[[#This Row],[Category]],CkReg13_14[Withdrawal]))</f>
        <v>-61.7</v>
      </c>
      <c r="D13" s="146">
        <v>-3000</v>
      </c>
      <c r="E13" s="146">
        <f>+CategoryTable8[[#This Row],[Total]]-CategoryTable8[[#This Row],[Budget]]</f>
        <v>2938.3</v>
      </c>
      <c r="F13" s="136"/>
      <c r="G13" s="37"/>
      <c r="H13" s="39">
        <v>41615</v>
      </c>
      <c r="I13" s="37" t="s">
        <v>11</v>
      </c>
      <c r="J13" s="37" t="s">
        <v>32</v>
      </c>
      <c r="K13" s="48"/>
      <c r="L13" s="48">
        <v>90</v>
      </c>
      <c r="M13" s="141">
        <f>IF(ISBLANK(CkReg13_14[[#This Row],[Withdrawal]]),M12+CkReg13_14[[#This Row],[Deposit]],M12-CkReg13_14[[#This Row],[Withdrawal]])</f>
        <v>11280.85</v>
      </c>
      <c r="N13" s="49" t="s">
        <v>101</v>
      </c>
      <c r="O13" s="46"/>
      <c r="P13" s="50">
        <v>41619</v>
      </c>
      <c r="Q13" s="152"/>
      <c r="R13" s="135"/>
      <c r="S13" s="135"/>
      <c r="T13" s="135"/>
      <c r="U13" s="135"/>
      <c r="V13" s="135"/>
      <c r="W13" s="135"/>
      <c r="X13" s="135"/>
      <c r="Y13" s="135"/>
      <c r="Z13" s="135"/>
      <c r="AA13" s="135"/>
      <c r="AB13" s="135"/>
      <c r="AC13" s="135"/>
      <c r="AD13" s="135"/>
      <c r="AE13" s="135"/>
      <c r="AF13" s="135"/>
      <c r="AG13" s="135"/>
      <c r="AH13" s="135"/>
      <c r="AI13" s="135"/>
      <c r="AJ13" s="135"/>
      <c r="AK13" s="135"/>
      <c r="AL13" s="135"/>
      <c r="AM13" s="135"/>
      <c r="AN13" s="135"/>
      <c r="AO13" s="135"/>
      <c r="AP13" s="135"/>
      <c r="AQ13" s="135"/>
      <c r="AR13" s="135"/>
      <c r="AS13" s="135"/>
      <c r="AT13" s="135"/>
      <c r="AU13" s="135"/>
      <c r="AV13" s="135"/>
      <c r="AW13" s="135"/>
      <c r="AX13" s="135"/>
      <c r="AY13" s="135"/>
      <c r="AZ13" s="135"/>
      <c r="BA13" s="135"/>
      <c r="BB13" s="135"/>
      <c r="BC13" s="135"/>
      <c r="BD13" s="135"/>
      <c r="BE13" s="135"/>
      <c r="BF13" s="135"/>
      <c r="BG13" s="135"/>
      <c r="BH13" s="135"/>
      <c r="BI13" s="135"/>
      <c r="BJ13" s="135"/>
      <c r="BK13" s="135"/>
      <c r="BL13" s="135"/>
      <c r="BM13" s="135"/>
      <c r="BN13" s="135"/>
      <c r="BO13" s="135"/>
      <c r="BP13" s="135"/>
      <c r="BQ13" s="135"/>
      <c r="BR13" s="135"/>
      <c r="BS13" s="135"/>
      <c r="BT13" s="135"/>
      <c r="BU13" s="135"/>
      <c r="BV13" s="135"/>
      <c r="BW13" s="135"/>
      <c r="BX13" s="135"/>
      <c r="BY13" s="135"/>
      <c r="BZ13" s="135"/>
      <c r="CA13" s="135"/>
      <c r="CB13" s="135"/>
      <c r="CC13" s="135"/>
      <c r="CD13" s="135"/>
      <c r="CE13" s="135"/>
      <c r="CF13" s="135"/>
      <c r="CG13" s="135"/>
      <c r="CH13" s="135"/>
      <c r="CI13" s="135"/>
      <c r="CJ13" s="135"/>
      <c r="CK13" s="135"/>
      <c r="CL13" s="135"/>
      <c r="CM13" s="135"/>
      <c r="CN13" s="135"/>
      <c r="CO13" s="135"/>
      <c r="CP13" s="135"/>
      <c r="CQ13" s="135"/>
      <c r="CR13" s="135"/>
      <c r="CS13" s="135"/>
      <c r="CT13" s="135"/>
    </row>
    <row r="14" spans="2:98" ht="20.399999999999999" customHeight="1" x14ac:dyDescent="0.55000000000000004">
      <c r="B14" s="145" t="s">
        <v>37</v>
      </c>
      <c r="C14" s="146">
        <f>-(SUMIF(CkReg13_14[Category],"=" &amp;CategoryTable8[[#This Row],[Category]],CkReg13_14[Withdrawal]))</f>
        <v>0</v>
      </c>
      <c r="D14" s="146">
        <v>-25</v>
      </c>
      <c r="E14" s="146">
        <f>+CategoryTable8[[#This Row],[Total]]-CategoryTable8[[#This Row],[Budget]]</f>
        <v>25</v>
      </c>
      <c r="F14" s="136"/>
      <c r="G14" s="155"/>
      <c r="H14" s="156">
        <v>41632</v>
      </c>
      <c r="I14" s="155" t="s">
        <v>154</v>
      </c>
      <c r="J14" s="155" t="s">
        <v>33</v>
      </c>
      <c r="K14" s="157"/>
      <c r="L14" s="157">
        <v>75</v>
      </c>
      <c r="M14" s="141">
        <f>IF(ISBLANK(CkReg13_14[[#This Row],[Withdrawal]]),M13+CkReg13_14[[#This Row],[Deposit]],M13-CkReg13_14[[#This Row],[Withdrawal]])</f>
        <v>11355.85</v>
      </c>
      <c r="N14" s="158" t="s">
        <v>101</v>
      </c>
      <c r="O14" s="159" t="s">
        <v>327</v>
      </c>
      <c r="P14" s="160" t="s">
        <v>348</v>
      </c>
      <c r="Q14" s="161" t="s">
        <v>343</v>
      </c>
      <c r="R14" s="135"/>
      <c r="S14" s="135"/>
      <c r="T14" s="135"/>
      <c r="U14" s="135"/>
      <c r="V14" s="135"/>
      <c r="W14" s="135"/>
      <c r="X14" s="135"/>
      <c r="Y14" s="135"/>
      <c r="Z14" s="135"/>
      <c r="AA14" s="135"/>
      <c r="AB14" s="135"/>
      <c r="AC14" s="135"/>
      <c r="AD14" s="135"/>
      <c r="AE14" s="135"/>
      <c r="AF14" s="135"/>
      <c r="AG14" s="135"/>
      <c r="AH14" s="135"/>
      <c r="AI14" s="135"/>
      <c r="AJ14" s="135"/>
      <c r="AK14" s="135"/>
      <c r="AL14" s="135"/>
      <c r="AM14" s="135"/>
      <c r="AN14" s="135"/>
      <c r="AO14" s="135"/>
      <c r="AP14" s="135"/>
      <c r="AQ14" s="135"/>
      <c r="AR14" s="135"/>
      <c r="AS14" s="135"/>
      <c r="AT14" s="135"/>
      <c r="AU14" s="135"/>
      <c r="AV14" s="135"/>
      <c r="AW14" s="135"/>
      <c r="AX14" s="135"/>
      <c r="AY14" s="135"/>
      <c r="AZ14" s="135"/>
      <c r="BA14" s="135"/>
      <c r="BB14" s="135"/>
      <c r="BC14" s="135"/>
      <c r="BD14" s="135"/>
      <c r="BE14" s="135"/>
      <c r="BF14" s="135"/>
      <c r="BG14" s="135"/>
      <c r="BH14" s="135"/>
      <c r="BI14" s="135"/>
      <c r="BJ14" s="135"/>
      <c r="BK14" s="135"/>
      <c r="BL14" s="135"/>
      <c r="BM14" s="135"/>
      <c r="BN14" s="135"/>
      <c r="BO14" s="135"/>
      <c r="BP14" s="135"/>
      <c r="BQ14" s="135"/>
      <c r="BR14" s="135"/>
      <c r="BS14" s="135"/>
      <c r="BT14" s="135"/>
      <c r="BU14" s="135"/>
      <c r="BV14" s="135"/>
      <c r="BW14" s="135"/>
      <c r="BX14" s="135"/>
      <c r="BY14" s="135"/>
      <c r="BZ14" s="135"/>
      <c r="CA14" s="135"/>
      <c r="CB14" s="135"/>
      <c r="CC14" s="135"/>
      <c r="CD14" s="135"/>
      <c r="CE14" s="135"/>
      <c r="CF14" s="135"/>
      <c r="CG14" s="135"/>
      <c r="CH14" s="135"/>
      <c r="CI14" s="135"/>
      <c r="CJ14" s="135"/>
      <c r="CK14" s="135"/>
      <c r="CL14" s="135"/>
      <c r="CM14" s="135"/>
      <c r="CN14" s="135"/>
      <c r="CO14" s="135"/>
      <c r="CP14" s="135"/>
      <c r="CQ14" s="135"/>
      <c r="CR14" s="135"/>
      <c r="CS14" s="135"/>
      <c r="CT14" s="135"/>
    </row>
    <row r="15" spans="2:98" ht="20.399999999999999" customHeight="1" x14ac:dyDescent="0.55000000000000004">
      <c r="B15" s="145" t="s">
        <v>38</v>
      </c>
      <c r="C15" s="146">
        <f>-(SUMIF(CkReg13_14[Category],"=" &amp;CategoryTable8[[#This Row],[Category]],CkReg13_14[Withdrawal]))</f>
        <v>0</v>
      </c>
      <c r="D15" s="146">
        <v>-500</v>
      </c>
      <c r="E15" s="146">
        <f>+CategoryTable8[[#This Row],[Total]]-CategoryTable8[[#This Row],[Budget]]</f>
        <v>500</v>
      </c>
      <c r="F15" s="136"/>
      <c r="G15" s="159"/>
      <c r="H15" s="162">
        <v>41632</v>
      </c>
      <c r="I15" s="159" t="s">
        <v>154</v>
      </c>
      <c r="J15" s="159" t="s">
        <v>33</v>
      </c>
      <c r="K15" s="157">
        <v>75</v>
      </c>
      <c r="L15" s="157"/>
      <c r="M15" s="141">
        <f>IF(ISBLANK(CkReg13_14[[#This Row],[Withdrawal]]),M14+CkReg13_14[[#This Row],[Deposit]],M14-CkReg13_14[[#This Row],[Withdrawal]])</f>
        <v>11280.85</v>
      </c>
      <c r="N15" s="158"/>
      <c r="O15" s="159"/>
      <c r="P15" s="160" t="s">
        <v>348</v>
      </c>
      <c r="Q15" s="161" t="s">
        <v>344</v>
      </c>
      <c r="R15" s="135"/>
      <c r="S15" s="135"/>
      <c r="T15" s="135"/>
      <c r="U15" s="135"/>
      <c r="V15" s="135"/>
      <c r="W15" s="135"/>
      <c r="X15" s="135"/>
      <c r="Y15" s="135"/>
      <c r="Z15" s="135"/>
      <c r="AA15" s="135"/>
      <c r="AB15" s="135"/>
      <c r="AC15" s="135"/>
      <c r="AD15" s="135"/>
      <c r="AE15" s="135"/>
      <c r="AF15" s="135"/>
      <c r="AG15" s="135"/>
      <c r="AH15" s="135"/>
      <c r="AI15" s="135"/>
      <c r="AJ15" s="135"/>
      <c r="AK15" s="135"/>
      <c r="AL15" s="135"/>
      <c r="AM15" s="135"/>
      <c r="AN15" s="135"/>
      <c r="AO15" s="135"/>
      <c r="AP15" s="135"/>
      <c r="AQ15" s="135"/>
      <c r="AR15" s="135"/>
      <c r="AS15" s="135"/>
      <c r="AT15" s="135"/>
      <c r="AU15" s="135"/>
      <c r="AV15" s="135"/>
      <c r="AW15" s="135"/>
      <c r="AX15" s="135"/>
      <c r="AY15" s="135"/>
      <c r="AZ15" s="135"/>
      <c r="BA15" s="135"/>
      <c r="BB15" s="135"/>
      <c r="BC15" s="135"/>
      <c r="BD15" s="135"/>
      <c r="BE15" s="135"/>
      <c r="BF15" s="135"/>
      <c r="BG15" s="135"/>
      <c r="BH15" s="135"/>
      <c r="BI15" s="135"/>
      <c r="BJ15" s="135"/>
      <c r="BK15" s="135"/>
      <c r="BL15" s="135"/>
      <c r="BM15" s="135"/>
      <c r="BN15" s="135"/>
      <c r="BO15" s="135"/>
      <c r="BP15" s="135"/>
      <c r="BQ15" s="135"/>
      <c r="BR15" s="135"/>
      <c r="BS15" s="135"/>
      <c r="BT15" s="135"/>
      <c r="BU15" s="135"/>
      <c r="BV15" s="135"/>
      <c r="BW15" s="135"/>
      <c r="BX15" s="135"/>
      <c r="BY15" s="135"/>
      <c r="BZ15" s="135"/>
      <c r="CA15" s="135"/>
      <c r="CB15" s="135"/>
      <c r="CC15" s="135"/>
      <c r="CD15" s="135"/>
      <c r="CE15" s="135"/>
      <c r="CF15" s="135"/>
      <c r="CG15" s="135"/>
      <c r="CH15" s="135"/>
      <c r="CI15" s="135"/>
      <c r="CJ15" s="135"/>
      <c r="CK15" s="135"/>
      <c r="CL15" s="135"/>
      <c r="CM15" s="135"/>
      <c r="CN15" s="135"/>
      <c r="CO15" s="135"/>
      <c r="CP15" s="135"/>
      <c r="CQ15" s="135"/>
      <c r="CR15" s="135"/>
      <c r="CS15" s="135"/>
      <c r="CT15" s="135"/>
    </row>
    <row r="16" spans="2:98" ht="20.399999999999999" customHeight="1" x14ac:dyDescent="0.55000000000000004">
      <c r="B16" s="145" t="s">
        <v>39</v>
      </c>
      <c r="C16" s="146">
        <f>-(SUMIF(CkReg13_14[Category],"=" &amp;CategoryTable8[[#This Row],[Category]],CkReg13_14[Withdrawal]))</f>
        <v>-404.03999999999996</v>
      </c>
      <c r="D16" s="146">
        <v>-400</v>
      </c>
      <c r="E16" s="146">
        <f>+CategoryTable8[[#This Row],[Total]]-CategoryTable8[[#This Row],[Budget]]</f>
        <v>-4.0399999999999636</v>
      </c>
      <c r="F16" s="136"/>
      <c r="G16" s="37" t="s">
        <v>150</v>
      </c>
      <c r="H16" s="39">
        <v>41632</v>
      </c>
      <c r="I16" s="37" t="s">
        <v>151</v>
      </c>
      <c r="J16" s="37" t="s">
        <v>53</v>
      </c>
      <c r="K16" s="48">
        <v>19.29</v>
      </c>
      <c r="L16" s="48"/>
      <c r="M16" s="141">
        <f>IF(ISBLANK(CkReg13_14[[#This Row],[Withdrawal]]),M15+CkReg13_14[[#This Row],[Deposit]],M15-CkReg13_14[[#This Row],[Withdrawal]])</f>
        <v>11261.56</v>
      </c>
      <c r="N16" s="49" t="s">
        <v>101</v>
      </c>
      <c r="O16" s="46"/>
      <c r="P16" s="50">
        <v>41632</v>
      </c>
      <c r="Q16" s="152"/>
      <c r="R16" s="135"/>
      <c r="S16" s="135"/>
      <c r="T16" s="135"/>
      <c r="U16" s="135"/>
      <c r="V16" s="135"/>
      <c r="W16" s="135"/>
      <c r="X16" s="135"/>
      <c r="Y16" s="135"/>
      <c r="Z16" s="135"/>
      <c r="AA16" s="135"/>
      <c r="AB16" s="135"/>
      <c r="AC16" s="135"/>
      <c r="AD16" s="135"/>
      <c r="AE16" s="135"/>
      <c r="AF16" s="135"/>
      <c r="AG16" s="135"/>
      <c r="AH16" s="135"/>
      <c r="AI16" s="135"/>
      <c r="AJ16" s="135"/>
      <c r="AK16" s="135"/>
      <c r="AL16" s="135"/>
      <c r="AM16" s="135"/>
      <c r="AN16" s="135"/>
      <c r="AO16" s="135"/>
      <c r="AP16" s="135"/>
      <c r="AQ16" s="135"/>
      <c r="AR16" s="135"/>
      <c r="AS16" s="135"/>
      <c r="AT16" s="135"/>
      <c r="AU16" s="135"/>
      <c r="AV16" s="135"/>
      <c r="AW16" s="135"/>
      <c r="AX16" s="135"/>
      <c r="AY16" s="135"/>
      <c r="AZ16" s="135"/>
      <c r="BA16" s="135"/>
      <c r="BB16" s="135"/>
      <c r="BC16" s="135"/>
      <c r="BD16" s="135"/>
      <c r="BE16" s="135"/>
      <c r="BF16" s="135"/>
      <c r="BG16" s="135"/>
      <c r="BH16" s="135"/>
      <c r="BI16" s="135"/>
      <c r="BJ16" s="135"/>
      <c r="BK16" s="135"/>
      <c r="BL16" s="135"/>
      <c r="BM16" s="135"/>
      <c r="BN16" s="135"/>
      <c r="BO16" s="135"/>
      <c r="BP16" s="135"/>
      <c r="BQ16" s="135"/>
      <c r="BR16" s="135"/>
      <c r="BS16" s="135"/>
      <c r="BT16" s="135"/>
      <c r="BU16" s="135"/>
      <c r="BV16" s="135"/>
      <c r="BW16" s="135"/>
      <c r="BX16" s="135"/>
      <c r="BY16" s="135"/>
      <c r="BZ16" s="135"/>
      <c r="CA16" s="135"/>
      <c r="CB16" s="135"/>
      <c r="CC16" s="135"/>
      <c r="CD16" s="135"/>
      <c r="CE16" s="135"/>
      <c r="CF16" s="135"/>
      <c r="CG16" s="135"/>
      <c r="CH16" s="135"/>
      <c r="CI16" s="135"/>
      <c r="CJ16" s="135"/>
      <c r="CK16" s="135"/>
      <c r="CL16" s="135"/>
      <c r="CM16" s="135"/>
      <c r="CN16" s="135"/>
      <c r="CO16" s="135"/>
      <c r="CP16" s="135"/>
      <c r="CQ16" s="135"/>
      <c r="CR16" s="135"/>
      <c r="CS16" s="135"/>
      <c r="CT16" s="135"/>
    </row>
    <row r="17" spans="2:98" ht="15" customHeight="1" x14ac:dyDescent="0.4">
      <c r="B17" s="145" t="s">
        <v>40</v>
      </c>
      <c r="C17" s="146">
        <f>-(SUMIF(CkReg13_14[Category],"=" &amp;CategoryTable8[[#This Row],[Category]],CkReg13_14[Withdrawal]))</f>
        <v>-977.76</v>
      </c>
      <c r="D17" s="146">
        <v>-450</v>
      </c>
      <c r="E17" s="146">
        <f>+CategoryTable8[[#This Row],[Total]]-CategoryTable8[[#This Row],[Budget]]</f>
        <v>-527.76</v>
      </c>
      <c r="F17" s="142"/>
      <c r="G17" s="37"/>
      <c r="H17" s="39">
        <v>41639</v>
      </c>
      <c r="I17" s="37" t="s">
        <v>90</v>
      </c>
      <c r="J17" s="37" t="s">
        <v>91</v>
      </c>
      <c r="K17" s="48"/>
      <c r="L17" s="48">
        <v>0.51</v>
      </c>
      <c r="M17" s="141">
        <f>IF(ISBLANK(CkReg13_14[[#This Row],[Withdrawal]]),M16+CkReg13_14[[#This Row],[Deposit]],M16-CkReg13_14[[#This Row],[Withdrawal]])</f>
        <v>11262.07</v>
      </c>
      <c r="N17" s="49" t="s">
        <v>101</v>
      </c>
      <c r="O17" s="46"/>
      <c r="P17" s="50">
        <v>41639</v>
      </c>
      <c r="Q17" s="152"/>
      <c r="R17" s="135"/>
      <c r="S17" s="135"/>
      <c r="T17" s="135"/>
      <c r="U17" s="135"/>
      <c r="V17" s="135"/>
      <c r="W17" s="135"/>
      <c r="X17" s="135"/>
      <c r="Y17" s="135"/>
      <c r="Z17" s="135"/>
      <c r="AA17" s="135"/>
      <c r="AB17" s="135"/>
      <c r="AC17" s="135"/>
      <c r="AD17" s="135"/>
      <c r="AE17" s="135"/>
      <c r="AF17" s="135"/>
      <c r="AG17" s="135"/>
      <c r="AH17" s="135"/>
      <c r="AI17" s="135"/>
      <c r="AJ17" s="135"/>
      <c r="AK17" s="135"/>
      <c r="AL17" s="135"/>
      <c r="AM17" s="135"/>
      <c r="AN17" s="135"/>
      <c r="AO17" s="135"/>
      <c r="AP17" s="135"/>
      <c r="AQ17" s="135"/>
      <c r="AR17" s="135"/>
      <c r="AS17" s="135"/>
      <c r="AT17" s="135"/>
      <c r="AU17" s="135"/>
      <c r="AV17" s="135"/>
      <c r="AW17" s="135"/>
      <c r="AX17" s="135"/>
      <c r="AY17" s="135"/>
      <c r="AZ17" s="135"/>
      <c r="BA17" s="135"/>
      <c r="BB17" s="135"/>
      <c r="BC17" s="135"/>
      <c r="BD17" s="135"/>
      <c r="BE17" s="135"/>
      <c r="BF17" s="135"/>
      <c r="BG17" s="135"/>
      <c r="BH17" s="135"/>
      <c r="BI17" s="135"/>
      <c r="BJ17" s="135"/>
      <c r="BK17" s="135"/>
      <c r="BL17" s="135"/>
      <c r="BM17" s="135"/>
      <c r="BN17" s="135"/>
      <c r="BO17" s="135"/>
      <c r="BP17" s="135"/>
      <c r="BQ17" s="135"/>
      <c r="BR17" s="135"/>
      <c r="BS17" s="135"/>
      <c r="BT17" s="135"/>
      <c r="BU17" s="135"/>
      <c r="BV17" s="135"/>
      <c r="BW17" s="135"/>
      <c r="BX17" s="135"/>
      <c r="BY17" s="135"/>
      <c r="BZ17" s="135"/>
      <c r="CA17" s="135"/>
      <c r="CB17" s="135"/>
      <c r="CC17" s="135"/>
      <c r="CD17" s="135"/>
      <c r="CE17" s="135"/>
      <c r="CF17" s="135"/>
      <c r="CG17" s="135"/>
      <c r="CH17" s="135"/>
      <c r="CI17" s="135"/>
      <c r="CJ17" s="135"/>
      <c r="CK17" s="135"/>
      <c r="CL17" s="135"/>
      <c r="CM17" s="135"/>
      <c r="CN17" s="135"/>
      <c r="CO17" s="135"/>
      <c r="CP17" s="135"/>
      <c r="CQ17" s="135"/>
      <c r="CR17" s="135"/>
      <c r="CS17" s="135"/>
      <c r="CT17" s="135"/>
    </row>
    <row r="18" spans="2:98" ht="16.95" customHeight="1" x14ac:dyDescent="0.4">
      <c r="B18" s="145" t="s">
        <v>41</v>
      </c>
      <c r="C18" s="146">
        <f>-(SUMIF(CkReg13_14[Category],"=" &amp;CategoryTable8[[#This Row],[Category]],CkReg13_14[Withdrawal]))</f>
        <v>0</v>
      </c>
      <c r="D18" s="146">
        <v>-180</v>
      </c>
      <c r="E18" s="146">
        <f>+CategoryTable8[[#This Row],[Total]]-CategoryTable8[[#This Row],[Budget]]</f>
        <v>180</v>
      </c>
      <c r="F18" s="142"/>
      <c r="G18" s="46">
        <v>3091</v>
      </c>
      <c r="H18" s="47">
        <v>41655</v>
      </c>
      <c r="I18" s="46" t="s">
        <v>122</v>
      </c>
      <c r="J18" s="46" t="s">
        <v>45</v>
      </c>
      <c r="K18" s="48">
        <v>60</v>
      </c>
      <c r="L18" s="48"/>
      <c r="M18" s="141">
        <f>IF(ISBLANK(CkReg13_14[[#This Row],[Withdrawal]]),M17+CkReg13_14[[#This Row],[Deposit]],M17-CkReg13_14[[#This Row],[Withdrawal]])</f>
        <v>11202.07</v>
      </c>
      <c r="N18" s="49" t="s">
        <v>101</v>
      </c>
      <c r="O18" s="46"/>
      <c r="P18" s="50">
        <v>41661</v>
      </c>
      <c r="Q18" s="152"/>
      <c r="R18" s="135"/>
      <c r="S18" s="135"/>
      <c r="T18" s="135"/>
      <c r="U18" s="135"/>
      <c r="V18" s="135"/>
      <c r="W18" s="135"/>
      <c r="X18" s="135"/>
      <c r="Y18" s="135"/>
      <c r="Z18" s="135"/>
      <c r="AA18" s="135"/>
      <c r="AB18" s="135"/>
      <c r="AC18" s="135"/>
      <c r="AD18" s="135"/>
      <c r="AE18" s="135"/>
      <c r="AF18" s="135"/>
      <c r="AG18" s="135"/>
      <c r="AH18" s="135"/>
      <c r="AI18" s="135"/>
      <c r="AJ18" s="135"/>
      <c r="AK18" s="135"/>
      <c r="AL18" s="135"/>
      <c r="AM18" s="135"/>
      <c r="AN18" s="135"/>
      <c r="AO18" s="135"/>
      <c r="AP18" s="135"/>
      <c r="AQ18" s="135"/>
      <c r="AR18" s="135"/>
      <c r="AS18" s="135"/>
      <c r="AT18" s="135"/>
      <c r="AU18" s="135"/>
      <c r="AV18" s="135"/>
      <c r="AW18" s="135"/>
      <c r="AX18" s="135"/>
      <c r="AY18" s="135"/>
      <c r="AZ18" s="135"/>
      <c r="BA18" s="135"/>
      <c r="BB18" s="135"/>
      <c r="BC18" s="135"/>
      <c r="BD18" s="135"/>
      <c r="BE18" s="135"/>
      <c r="BF18" s="135"/>
      <c r="BG18" s="135"/>
      <c r="BH18" s="135"/>
      <c r="BI18" s="135"/>
      <c r="BJ18" s="135"/>
      <c r="BK18" s="135"/>
      <c r="BL18" s="135"/>
      <c r="BM18" s="135"/>
      <c r="BN18" s="135"/>
      <c r="BO18" s="135"/>
      <c r="BP18" s="135"/>
      <c r="BQ18" s="135"/>
      <c r="BR18" s="135"/>
      <c r="BS18" s="135"/>
      <c r="BT18" s="135"/>
      <c r="BU18" s="135"/>
      <c r="BV18" s="135"/>
      <c r="BW18" s="135"/>
      <c r="BX18" s="135"/>
      <c r="BY18" s="135"/>
      <c r="BZ18" s="135"/>
      <c r="CA18" s="135"/>
      <c r="CB18" s="135"/>
      <c r="CC18" s="135"/>
      <c r="CD18" s="135"/>
      <c r="CE18" s="135"/>
      <c r="CF18" s="135"/>
      <c r="CG18" s="135"/>
      <c r="CH18" s="135"/>
      <c r="CI18" s="135"/>
      <c r="CJ18" s="135"/>
      <c r="CK18" s="135"/>
      <c r="CL18" s="135"/>
      <c r="CM18" s="135"/>
      <c r="CN18" s="135"/>
      <c r="CO18" s="135"/>
      <c r="CP18" s="135"/>
      <c r="CQ18" s="135"/>
      <c r="CR18" s="135"/>
      <c r="CS18" s="135"/>
      <c r="CT18" s="135"/>
    </row>
    <row r="19" spans="2:98" ht="16.95" customHeight="1" x14ac:dyDescent="0.4">
      <c r="B19" s="145" t="s">
        <v>42</v>
      </c>
      <c r="C19" s="146">
        <f>-(SUMIF(CkReg13_14[Category],"=" &amp;CategoryTable8[[#This Row],[Category]],CkReg13_14[Withdrawal]))</f>
        <v>0</v>
      </c>
      <c r="D19" s="146">
        <v>-50</v>
      </c>
      <c r="E19" s="146">
        <f>+CategoryTable8[[#This Row],[Total]]-CategoryTable8[[#This Row],[Budget]]</f>
        <v>50</v>
      </c>
      <c r="F19" s="142"/>
      <c r="G19" s="147"/>
      <c r="H19" s="149">
        <v>41670</v>
      </c>
      <c r="I19" s="147" t="s">
        <v>11</v>
      </c>
      <c r="J19" s="147" t="s">
        <v>91</v>
      </c>
      <c r="K19" s="150"/>
      <c r="L19" s="150">
        <v>0.49</v>
      </c>
      <c r="M19" s="141">
        <f>IF(ISBLANK(CkReg13_14[[#This Row],[Withdrawal]]),M18+CkReg13_14[[#This Row],[Deposit]],M18-CkReg13_14[[#This Row],[Withdrawal]])</f>
        <v>11202.56</v>
      </c>
      <c r="N19" s="151" t="s">
        <v>101</v>
      </c>
      <c r="O19" s="147"/>
      <c r="P19" s="50">
        <v>41670</v>
      </c>
      <c r="Q19" s="152">
        <v>11277.56</v>
      </c>
      <c r="R19" s="135"/>
      <c r="S19" s="135"/>
      <c r="T19" s="135"/>
      <c r="U19" s="135"/>
      <c r="V19" s="135"/>
      <c r="W19" s="135"/>
      <c r="X19" s="135"/>
      <c r="Y19" s="135"/>
      <c r="Z19" s="135"/>
      <c r="AA19" s="135"/>
      <c r="AB19" s="135"/>
      <c r="AC19" s="135"/>
      <c r="AD19" s="135"/>
      <c r="AE19" s="135"/>
      <c r="AF19" s="135"/>
      <c r="AG19" s="135"/>
      <c r="AH19" s="135"/>
      <c r="AI19" s="135"/>
      <c r="AJ19" s="135"/>
      <c r="AK19" s="135"/>
      <c r="AL19" s="135"/>
      <c r="AM19" s="135"/>
      <c r="AN19" s="135"/>
      <c r="AO19" s="135"/>
      <c r="AP19" s="135"/>
      <c r="AQ19" s="135"/>
      <c r="AR19" s="135"/>
      <c r="AS19" s="135"/>
      <c r="AT19" s="135"/>
      <c r="AU19" s="135"/>
      <c r="AV19" s="135"/>
      <c r="AW19" s="135"/>
      <c r="AX19" s="135"/>
      <c r="AY19" s="135"/>
      <c r="AZ19" s="135"/>
      <c r="BA19" s="135"/>
      <c r="BB19" s="135"/>
      <c r="BC19" s="135"/>
      <c r="BD19" s="135"/>
      <c r="BE19" s="135"/>
      <c r="BF19" s="135"/>
      <c r="BG19" s="135"/>
      <c r="BH19" s="135"/>
      <c r="BI19" s="135"/>
      <c r="BJ19" s="135"/>
      <c r="BK19" s="135"/>
      <c r="BL19" s="135"/>
      <c r="BM19" s="135"/>
      <c r="BN19" s="135"/>
      <c r="BO19" s="135"/>
      <c r="BP19" s="135"/>
      <c r="BQ19" s="135"/>
      <c r="BR19" s="135"/>
      <c r="BS19" s="135"/>
      <c r="BT19" s="135"/>
      <c r="BU19" s="135"/>
      <c r="BV19" s="135"/>
      <c r="BW19" s="135"/>
      <c r="BX19" s="135"/>
      <c r="BY19" s="135"/>
      <c r="BZ19" s="135"/>
      <c r="CA19" s="135"/>
      <c r="CB19" s="135"/>
      <c r="CC19" s="135"/>
      <c r="CD19" s="135"/>
      <c r="CE19" s="135"/>
      <c r="CF19" s="135"/>
      <c r="CG19" s="135"/>
      <c r="CH19" s="135"/>
      <c r="CI19" s="135"/>
      <c r="CJ19" s="135"/>
      <c r="CK19" s="135"/>
      <c r="CL19" s="135"/>
      <c r="CM19" s="135"/>
      <c r="CN19" s="135"/>
      <c r="CO19" s="135"/>
      <c r="CP19" s="135"/>
      <c r="CQ19" s="135"/>
      <c r="CR19" s="135"/>
      <c r="CS19" s="135"/>
      <c r="CT19" s="135"/>
    </row>
    <row r="20" spans="2:98" ht="16.95" customHeight="1" x14ac:dyDescent="0.4">
      <c r="B20" s="145" t="s">
        <v>91</v>
      </c>
      <c r="C20" s="146">
        <f>SUMIF(CkReg13_14[Category],"=" &amp;CategoryTable8[[#This Row],[Category]],CkReg13_14[Deposit])</f>
        <v>5.26</v>
      </c>
      <c r="D20" s="146">
        <v>0</v>
      </c>
      <c r="E20" s="146">
        <f>+CategoryTable8[[#This Row],[Total]]-CategoryTable8[[#This Row],[Budget]]</f>
        <v>5.26</v>
      </c>
      <c r="F20" s="142"/>
      <c r="G20" s="159"/>
      <c r="H20" s="162">
        <v>41671</v>
      </c>
      <c r="I20" s="159" t="s">
        <v>11</v>
      </c>
      <c r="J20" s="159" t="s">
        <v>32</v>
      </c>
      <c r="K20" s="157"/>
      <c r="L20" s="157">
        <v>115</v>
      </c>
      <c r="M20" s="141">
        <f>IF(ISBLANK(CkReg13_14[[#This Row],[Withdrawal]]),M19+CkReg13_14[[#This Row],[Deposit]],M19-CkReg13_14[[#This Row],[Withdrawal]])</f>
        <v>11317.56</v>
      </c>
      <c r="N20" s="158" t="s">
        <v>101</v>
      </c>
      <c r="O20" s="159" t="s">
        <v>328</v>
      </c>
      <c r="P20" s="160" t="s">
        <v>348</v>
      </c>
      <c r="Q20" s="161" t="s">
        <v>343</v>
      </c>
      <c r="R20" s="135"/>
      <c r="S20" s="135"/>
      <c r="T20" s="135"/>
      <c r="U20" s="135"/>
      <c r="V20" s="135"/>
      <c r="W20" s="135"/>
      <c r="X20" s="135"/>
      <c r="Y20" s="135"/>
      <c r="Z20" s="135"/>
      <c r="AA20" s="135"/>
      <c r="AB20" s="135"/>
      <c r="AC20" s="135"/>
      <c r="AD20" s="135"/>
      <c r="AE20" s="135"/>
      <c r="AF20" s="135"/>
      <c r="AG20" s="135"/>
      <c r="AH20" s="135"/>
      <c r="AI20" s="135"/>
      <c r="AJ20" s="135"/>
      <c r="AK20" s="135"/>
      <c r="AL20" s="135"/>
      <c r="AM20" s="135"/>
      <c r="AN20" s="135"/>
      <c r="AO20" s="135"/>
      <c r="AP20" s="135"/>
      <c r="AQ20" s="135"/>
      <c r="AR20" s="135"/>
      <c r="AS20" s="135"/>
      <c r="AT20" s="135"/>
      <c r="AU20" s="135"/>
      <c r="AV20" s="135"/>
      <c r="AW20" s="135"/>
      <c r="AX20" s="135"/>
      <c r="AY20" s="135"/>
      <c r="AZ20" s="135"/>
      <c r="BA20" s="135"/>
      <c r="BB20" s="135"/>
      <c r="BC20" s="135"/>
      <c r="BD20" s="135"/>
      <c r="BE20" s="135"/>
      <c r="BF20" s="135"/>
      <c r="BG20" s="135"/>
      <c r="BH20" s="135"/>
      <c r="BI20" s="135"/>
      <c r="BJ20" s="135"/>
      <c r="BK20" s="135"/>
      <c r="BL20" s="135"/>
      <c r="BM20" s="135"/>
      <c r="BN20" s="135"/>
      <c r="BO20" s="135"/>
      <c r="BP20" s="135"/>
      <c r="BQ20" s="135"/>
      <c r="BR20" s="135"/>
      <c r="BS20" s="135"/>
      <c r="BT20" s="135"/>
      <c r="BU20" s="135"/>
      <c r="BV20" s="135"/>
      <c r="BW20" s="135"/>
      <c r="BX20" s="135"/>
      <c r="BY20" s="135"/>
      <c r="BZ20" s="135"/>
      <c r="CA20" s="135"/>
      <c r="CB20" s="135"/>
      <c r="CC20" s="135"/>
      <c r="CD20" s="135"/>
      <c r="CE20" s="135"/>
      <c r="CF20" s="135"/>
      <c r="CG20" s="135"/>
      <c r="CH20" s="135"/>
      <c r="CI20" s="135"/>
      <c r="CJ20" s="135"/>
      <c r="CK20" s="135"/>
      <c r="CL20" s="135"/>
      <c r="CM20" s="135"/>
      <c r="CN20" s="135"/>
      <c r="CO20" s="135"/>
      <c r="CP20" s="135"/>
      <c r="CQ20" s="135"/>
      <c r="CR20" s="135"/>
      <c r="CS20" s="135"/>
      <c r="CT20" s="135"/>
    </row>
    <row r="21" spans="2:98" ht="16.95" customHeight="1" x14ac:dyDescent="0.4">
      <c r="B21" s="145" t="s">
        <v>43</v>
      </c>
      <c r="C21" s="146">
        <f>-(SUMIF(CkReg13_14[Category],"=" &amp;CategoryTable8[[#This Row],[Category]],CkReg13_14[Withdrawal]))</f>
        <v>-250</v>
      </c>
      <c r="D21" s="146">
        <v>-300</v>
      </c>
      <c r="E21" s="146">
        <f>+CategoryTable8[[#This Row],[Total]]-CategoryTable8[[#This Row],[Budget]]</f>
        <v>50</v>
      </c>
      <c r="F21" s="142"/>
      <c r="G21" s="159">
        <v>3096</v>
      </c>
      <c r="H21" s="162">
        <v>41671</v>
      </c>
      <c r="I21" s="159" t="s">
        <v>156</v>
      </c>
      <c r="J21" s="159" t="s">
        <v>160</v>
      </c>
      <c r="K21" s="157">
        <v>250</v>
      </c>
      <c r="L21" s="157"/>
      <c r="M21" s="141">
        <f>IF(ISBLANK(CkReg13_14[[#This Row],[Withdrawal]]),M20+CkReg13_14[[#This Row],[Deposit]],M20-CkReg13_14[[#This Row],[Withdrawal]])</f>
        <v>11067.56</v>
      </c>
      <c r="N21" s="158" t="s">
        <v>101</v>
      </c>
      <c r="O21" s="159"/>
      <c r="P21" s="160" t="s">
        <v>348</v>
      </c>
      <c r="Q21" s="161" t="s">
        <v>343</v>
      </c>
      <c r="R21" s="135"/>
      <c r="S21" s="135"/>
      <c r="T21" s="135"/>
      <c r="U21" s="135"/>
      <c r="V21" s="135"/>
      <c r="W21" s="135"/>
      <c r="X21" s="135"/>
      <c r="Y21" s="135"/>
      <c r="Z21" s="135"/>
      <c r="AA21" s="135"/>
      <c r="AB21" s="135"/>
      <c r="AC21" s="135"/>
      <c r="AD21" s="135"/>
      <c r="AE21" s="135"/>
      <c r="AF21" s="135"/>
      <c r="AG21" s="135"/>
      <c r="AH21" s="135"/>
      <c r="AI21" s="135"/>
      <c r="AJ21" s="135"/>
      <c r="AK21" s="135"/>
      <c r="AL21" s="135"/>
      <c r="AM21" s="135"/>
      <c r="AN21" s="135"/>
      <c r="AO21" s="135"/>
      <c r="AP21" s="135"/>
      <c r="AQ21" s="135"/>
      <c r="AR21" s="135"/>
      <c r="AS21" s="135"/>
      <c r="AT21" s="135"/>
      <c r="AU21" s="135"/>
      <c r="AV21" s="135"/>
      <c r="AW21" s="135"/>
      <c r="AX21" s="135"/>
      <c r="AY21" s="135"/>
      <c r="AZ21" s="135"/>
      <c r="BA21" s="135"/>
      <c r="BB21" s="135"/>
      <c r="BC21" s="135"/>
      <c r="BD21" s="135"/>
      <c r="BE21" s="135"/>
      <c r="BF21" s="135"/>
      <c r="BG21" s="135"/>
      <c r="BH21" s="135"/>
      <c r="BI21" s="135"/>
      <c r="BJ21" s="135"/>
      <c r="BK21" s="135"/>
      <c r="BL21" s="135"/>
      <c r="BM21" s="135"/>
      <c r="BN21" s="135"/>
      <c r="BO21" s="135"/>
      <c r="BP21" s="135"/>
      <c r="BQ21" s="135"/>
      <c r="BR21" s="135"/>
      <c r="BS21" s="135"/>
      <c r="BT21" s="135"/>
      <c r="BU21" s="135"/>
      <c r="BV21" s="135"/>
      <c r="BW21" s="135"/>
      <c r="BX21" s="135"/>
      <c r="BY21" s="135"/>
      <c r="BZ21" s="135"/>
      <c r="CA21" s="135"/>
      <c r="CB21" s="135"/>
      <c r="CC21" s="135"/>
      <c r="CD21" s="135"/>
      <c r="CE21" s="135"/>
      <c r="CF21" s="135"/>
      <c r="CG21" s="135"/>
      <c r="CH21" s="135"/>
      <c r="CI21" s="135"/>
      <c r="CJ21" s="135"/>
      <c r="CK21" s="135"/>
      <c r="CL21" s="135"/>
      <c r="CM21" s="135"/>
      <c r="CN21" s="135"/>
      <c r="CO21" s="135"/>
      <c r="CP21" s="135"/>
      <c r="CQ21" s="135"/>
      <c r="CR21" s="135"/>
      <c r="CS21" s="135"/>
      <c r="CT21" s="135"/>
    </row>
    <row r="22" spans="2:98" x14ac:dyDescent="0.4">
      <c r="B22" s="145" t="s">
        <v>44</v>
      </c>
      <c r="C22" s="146">
        <f>-(SUMIF(CkReg13_14[Category],"=" &amp;CategoryTable8[[#This Row],[Category]],CkReg13_14[Withdrawal]))</f>
        <v>-2321.29</v>
      </c>
      <c r="D22" s="146">
        <v>-50</v>
      </c>
      <c r="E22" s="146">
        <f>+CategoryTable8[[#This Row],[Total]]-CategoryTable8[[#This Row],[Budget]]</f>
        <v>-2271.29</v>
      </c>
      <c r="F22" s="142"/>
      <c r="G22" s="159"/>
      <c r="H22" s="162">
        <v>41671</v>
      </c>
      <c r="I22" s="159" t="s">
        <v>11</v>
      </c>
      <c r="J22" s="159" t="s">
        <v>32</v>
      </c>
      <c r="K22" s="157">
        <v>115</v>
      </c>
      <c r="L22" s="157"/>
      <c r="M22" s="141">
        <f>IF(ISBLANK(CkReg13_14[[#This Row],[Withdrawal]]),M21+CkReg13_14[[#This Row],[Deposit]],M21-CkReg13_14[[#This Row],[Withdrawal]])</f>
        <v>10952.56</v>
      </c>
      <c r="N22" s="158"/>
      <c r="O22" s="159"/>
      <c r="P22" s="160" t="s">
        <v>348</v>
      </c>
      <c r="Q22" s="161" t="s">
        <v>344</v>
      </c>
      <c r="R22" s="135"/>
      <c r="S22" s="135"/>
      <c r="T22" s="135"/>
      <c r="U22" s="135"/>
      <c r="V22" s="135"/>
      <c r="W22" s="135"/>
      <c r="X22" s="135"/>
      <c r="Y22" s="135"/>
      <c r="Z22" s="135"/>
      <c r="AA22" s="135"/>
      <c r="AB22" s="135"/>
      <c r="AC22" s="135"/>
      <c r="AD22" s="135"/>
      <c r="AE22" s="135"/>
      <c r="AF22" s="135"/>
      <c r="AG22" s="135"/>
      <c r="AH22" s="135"/>
      <c r="AI22" s="135"/>
      <c r="AJ22" s="135"/>
      <c r="AK22" s="135"/>
      <c r="AL22" s="135"/>
      <c r="AM22" s="135"/>
      <c r="AN22" s="135"/>
      <c r="AO22" s="135"/>
      <c r="AP22" s="135"/>
      <c r="AQ22" s="135"/>
      <c r="AR22" s="135"/>
      <c r="AS22" s="135"/>
      <c r="AT22" s="135"/>
      <c r="AU22" s="135"/>
      <c r="AV22" s="135"/>
      <c r="AW22" s="135"/>
      <c r="AX22" s="135"/>
      <c r="AY22" s="135"/>
      <c r="AZ22" s="135"/>
      <c r="BA22" s="135"/>
      <c r="BB22" s="135"/>
      <c r="BC22" s="135"/>
      <c r="BD22" s="135"/>
      <c r="BE22" s="135"/>
      <c r="BF22" s="135"/>
      <c r="BG22" s="135"/>
      <c r="BH22" s="135"/>
      <c r="BI22" s="135"/>
      <c r="BJ22" s="135"/>
      <c r="BK22" s="135"/>
      <c r="BL22" s="135"/>
      <c r="BM22" s="135"/>
      <c r="BN22" s="135"/>
      <c r="BO22" s="135"/>
      <c r="BP22" s="135"/>
      <c r="BQ22" s="135"/>
      <c r="BR22" s="135"/>
      <c r="BS22" s="135"/>
      <c r="BT22" s="135"/>
      <c r="BU22" s="135"/>
      <c r="BV22" s="135"/>
      <c r="BW22" s="135"/>
      <c r="BX22" s="135"/>
      <c r="BY22" s="135"/>
      <c r="BZ22" s="135"/>
      <c r="CA22" s="135"/>
      <c r="CB22" s="135"/>
      <c r="CC22" s="135"/>
      <c r="CD22" s="135"/>
      <c r="CE22" s="135"/>
      <c r="CF22" s="135"/>
      <c r="CG22" s="135"/>
      <c r="CH22" s="135"/>
      <c r="CI22" s="135"/>
      <c r="CJ22" s="135"/>
      <c r="CK22" s="135"/>
      <c r="CL22" s="135"/>
      <c r="CM22" s="135"/>
      <c r="CN22" s="135"/>
      <c r="CO22" s="135"/>
      <c r="CP22" s="135"/>
      <c r="CQ22" s="135"/>
      <c r="CR22" s="135"/>
      <c r="CS22" s="135"/>
      <c r="CT22" s="135"/>
    </row>
    <row r="23" spans="2:98" ht="16.95" customHeight="1" x14ac:dyDescent="0.4">
      <c r="B23" s="145" t="s">
        <v>45</v>
      </c>
      <c r="C23" s="146">
        <f>-(SUMIF(CkReg13_14[Category],"=" &amp;CategoryTable8[[#This Row],[Category]],CkReg13_14[Withdrawal]))</f>
        <v>-60</v>
      </c>
      <c r="D23" s="146">
        <v>-68</v>
      </c>
      <c r="E23" s="146">
        <f>+CategoryTable8[[#This Row],[Total]]-CategoryTable8[[#This Row],[Budget]]</f>
        <v>8</v>
      </c>
      <c r="F23" s="142"/>
      <c r="G23" s="159">
        <v>3096</v>
      </c>
      <c r="H23" s="162">
        <v>41671</v>
      </c>
      <c r="I23" s="159" t="s">
        <v>156</v>
      </c>
      <c r="J23" s="159" t="s">
        <v>160</v>
      </c>
      <c r="K23" s="157"/>
      <c r="L23" s="157">
        <v>250</v>
      </c>
      <c r="M23" s="141">
        <f>IF(ISBLANK(CkReg13_14[[#This Row],[Withdrawal]]),M22+CkReg13_14[[#This Row],[Deposit]],M22-CkReg13_14[[#This Row],[Withdrawal]])</f>
        <v>11202.56</v>
      </c>
      <c r="N23" s="158"/>
      <c r="O23" s="159"/>
      <c r="P23" s="160" t="s">
        <v>348</v>
      </c>
      <c r="Q23" s="167" t="s">
        <v>343</v>
      </c>
      <c r="R23" s="135"/>
      <c r="S23" s="135"/>
      <c r="T23" s="135"/>
      <c r="U23" s="135"/>
      <c r="V23" s="135"/>
      <c r="W23" s="135"/>
      <c r="X23" s="135"/>
      <c r="Y23" s="135"/>
      <c r="Z23" s="135"/>
      <c r="AA23" s="135"/>
      <c r="AB23" s="135"/>
      <c r="AC23" s="135"/>
      <c r="AD23" s="135"/>
      <c r="AE23" s="135"/>
      <c r="AF23" s="135"/>
      <c r="AG23" s="135"/>
      <c r="AH23" s="135"/>
      <c r="AI23" s="135"/>
      <c r="AJ23" s="135"/>
      <c r="AK23" s="135"/>
      <c r="AL23" s="135"/>
      <c r="AM23" s="135"/>
      <c r="AN23" s="135"/>
      <c r="AO23" s="135"/>
      <c r="AP23" s="135"/>
      <c r="AQ23" s="135"/>
      <c r="AR23" s="135"/>
      <c r="AS23" s="135"/>
      <c r="AT23" s="135"/>
      <c r="AU23" s="135"/>
      <c r="AV23" s="135"/>
      <c r="AW23" s="135"/>
      <c r="AX23" s="135"/>
      <c r="AY23" s="135"/>
      <c r="AZ23" s="135"/>
      <c r="BA23" s="135"/>
      <c r="BB23" s="135"/>
      <c r="BC23" s="135"/>
      <c r="BD23" s="135"/>
      <c r="BE23" s="135"/>
      <c r="BF23" s="135"/>
      <c r="BG23" s="135"/>
      <c r="BH23" s="135"/>
      <c r="BI23" s="135"/>
      <c r="BJ23" s="135"/>
      <c r="BK23" s="135"/>
      <c r="BL23" s="135"/>
      <c r="BM23" s="135"/>
      <c r="BN23" s="135"/>
      <c r="BO23" s="135"/>
      <c r="BP23" s="135"/>
      <c r="BQ23" s="135"/>
      <c r="BR23" s="135"/>
      <c r="BS23" s="135"/>
      <c r="BT23" s="135"/>
      <c r="BU23" s="135"/>
      <c r="BV23" s="135"/>
      <c r="BW23" s="135"/>
      <c r="BX23" s="135"/>
      <c r="BY23" s="135"/>
      <c r="BZ23" s="135"/>
      <c r="CA23" s="135"/>
      <c r="CB23" s="135"/>
      <c r="CC23" s="135"/>
      <c r="CD23" s="135"/>
      <c r="CE23" s="135"/>
      <c r="CF23" s="135"/>
      <c r="CG23" s="135"/>
      <c r="CH23" s="135"/>
      <c r="CI23" s="135"/>
      <c r="CJ23" s="135"/>
      <c r="CK23" s="135"/>
      <c r="CL23" s="135"/>
      <c r="CM23" s="135"/>
      <c r="CN23" s="135"/>
      <c r="CO23" s="135"/>
      <c r="CP23" s="135"/>
      <c r="CQ23" s="135"/>
      <c r="CR23" s="135"/>
      <c r="CS23" s="135"/>
      <c r="CT23" s="135"/>
    </row>
    <row r="24" spans="2:98" ht="16.95" customHeight="1" x14ac:dyDescent="0.4">
      <c r="B24" s="145" t="s">
        <v>46</v>
      </c>
      <c r="C24" s="146">
        <f>-(SUMIF(CkReg13_14[Category],"=" &amp;CategoryTable8[[#This Row],[Category]],CkReg13_14[Withdrawal]))</f>
        <v>-854.37</v>
      </c>
      <c r="D24" s="146">
        <v>-825</v>
      </c>
      <c r="E24" s="146">
        <f>+CategoryTable8[[#This Row],[Total]]-CategoryTable8[[#This Row],[Budget]]</f>
        <v>-29.370000000000005</v>
      </c>
      <c r="F24" s="142"/>
      <c r="G24" s="46">
        <v>3092</v>
      </c>
      <c r="H24" s="47">
        <v>41671</v>
      </c>
      <c r="I24" s="46" t="s">
        <v>156</v>
      </c>
      <c r="J24" s="46" t="s">
        <v>34</v>
      </c>
      <c r="K24" s="48">
        <v>174.55</v>
      </c>
      <c r="L24" s="48"/>
      <c r="M24" s="141">
        <f>IF(ISBLANK(CkReg13_14[[#This Row],[Withdrawal]]),M23+CkReg13_14[[#This Row],[Deposit]],M23-CkReg13_14[[#This Row],[Withdrawal]])</f>
        <v>11028.01</v>
      </c>
      <c r="N24" s="49" t="s">
        <v>101</v>
      </c>
      <c r="O24" s="46"/>
      <c r="P24" s="50">
        <v>41673</v>
      </c>
      <c r="Q24" s="51"/>
      <c r="R24" s="135"/>
      <c r="S24" s="135"/>
      <c r="T24" s="135"/>
      <c r="U24" s="135"/>
      <c r="V24" s="135"/>
      <c r="W24" s="135"/>
      <c r="X24" s="135"/>
      <c r="Y24" s="135"/>
      <c r="Z24" s="135"/>
      <c r="AA24" s="135"/>
      <c r="AB24" s="135"/>
      <c r="AC24" s="135"/>
      <c r="AD24" s="135"/>
      <c r="AE24" s="135"/>
      <c r="AF24" s="135"/>
      <c r="AG24" s="135"/>
      <c r="AH24" s="135"/>
      <c r="AI24" s="135"/>
      <c r="AJ24" s="135"/>
      <c r="AK24" s="135"/>
      <c r="AL24" s="135"/>
      <c r="AM24" s="135"/>
      <c r="AN24" s="135"/>
      <c r="AO24" s="135"/>
      <c r="AP24" s="135"/>
      <c r="AQ24" s="135"/>
      <c r="AR24" s="135"/>
      <c r="AS24" s="135"/>
      <c r="AT24" s="135"/>
      <c r="AU24" s="135"/>
      <c r="AV24" s="135"/>
      <c r="AW24" s="135"/>
      <c r="AX24" s="135"/>
      <c r="AY24" s="135"/>
      <c r="AZ24" s="135"/>
      <c r="BA24" s="135"/>
      <c r="BB24" s="135"/>
      <c r="BC24" s="135"/>
      <c r="BD24" s="135"/>
      <c r="BE24" s="135"/>
      <c r="BF24" s="135"/>
      <c r="BG24" s="135"/>
      <c r="BH24" s="135"/>
      <c r="BI24" s="135"/>
      <c r="BJ24" s="135"/>
      <c r="BK24" s="135"/>
      <c r="BL24" s="135"/>
      <c r="BM24" s="135"/>
      <c r="BN24" s="135"/>
      <c r="BO24" s="135"/>
      <c r="BP24" s="135"/>
      <c r="BQ24" s="135"/>
      <c r="BR24" s="135"/>
      <c r="BS24" s="135"/>
      <c r="BT24" s="135"/>
      <c r="BU24" s="135"/>
      <c r="BV24" s="135"/>
      <c r="BW24" s="135"/>
      <c r="BX24" s="135"/>
      <c r="BY24" s="135"/>
      <c r="BZ24" s="135"/>
      <c r="CA24" s="135"/>
      <c r="CB24" s="135"/>
      <c r="CC24" s="135"/>
      <c r="CD24" s="135"/>
      <c r="CE24" s="135"/>
      <c r="CF24" s="135"/>
      <c r="CG24" s="135"/>
      <c r="CH24" s="135"/>
      <c r="CI24" s="135"/>
      <c r="CJ24" s="135"/>
      <c r="CK24" s="135"/>
      <c r="CL24" s="135"/>
      <c r="CM24" s="135"/>
      <c r="CN24" s="135"/>
      <c r="CO24" s="135"/>
      <c r="CP24" s="135"/>
      <c r="CQ24" s="135"/>
      <c r="CR24" s="135"/>
      <c r="CS24" s="135"/>
      <c r="CT24" s="135"/>
    </row>
    <row r="25" spans="2:98" ht="16.95" customHeight="1" x14ac:dyDescent="0.4">
      <c r="B25" s="145" t="s">
        <v>47</v>
      </c>
      <c r="C25" s="146">
        <f>-(SUMIF(CkReg13_14[Category],"=" &amp;CategoryTable8[[#This Row],[Category]],CkReg13_14[Withdrawal]))</f>
        <v>-12.78</v>
      </c>
      <c r="D25" s="146">
        <v>-100</v>
      </c>
      <c r="E25" s="146">
        <f>+CategoryTable8[[#This Row],[Total]]-CategoryTable8[[#This Row],[Budget]]</f>
        <v>87.22</v>
      </c>
      <c r="G25" s="46">
        <v>3093</v>
      </c>
      <c r="H25" s="47">
        <v>41671</v>
      </c>
      <c r="I25" s="46" t="s">
        <v>92</v>
      </c>
      <c r="J25" s="46" t="s">
        <v>43</v>
      </c>
      <c r="K25" s="48">
        <v>50</v>
      </c>
      <c r="L25" s="48"/>
      <c r="M25" s="141">
        <f>IF(ISBLANK(CkReg13_14[[#This Row],[Withdrawal]]),M24+CkReg13_14[[#This Row],[Deposit]],M24-CkReg13_14[[#This Row],[Withdrawal]])</f>
        <v>10978.01</v>
      </c>
      <c r="N25" s="49" t="s">
        <v>101</v>
      </c>
      <c r="O25" s="46"/>
      <c r="P25" s="50">
        <v>41674</v>
      </c>
      <c r="Q25" s="51"/>
      <c r="R25" s="135"/>
      <c r="S25" s="135"/>
      <c r="T25" s="135"/>
      <c r="U25" s="135"/>
      <c r="V25" s="135"/>
      <c r="W25" s="135"/>
      <c r="X25" s="135"/>
      <c r="Y25" s="135"/>
      <c r="Z25" s="135"/>
      <c r="AA25" s="135"/>
      <c r="AB25" s="135"/>
      <c r="AC25" s="135"/>
      <c r="AD25" s="135"/>
      <c r="AE25" s="135"/>
      <c r="AF25" s="135"/>
      <c r="AG25" s="135"/>
      <c r="AH25" s="135"/>
      <c r="AI25" s="135"/>
      <c r="AJ25" s="135"/>
      <c r="AK25" s="135"/>
      <c r="AL25" s="135"/>
      <c r="AM25" s="135"/>
      <c r="AN25" s="135"/>
      <c r="AO25" s="135"/>
      <c r="AP25" s="135"/>
      <c r="AQ25" s="135"/>
      <c r="AR25" s="135"/>
      <c r="AS25" s="135"/>
      <c r="AT25" s="135"/>
      <c r="AU25" s="135"/>
      <c r="AV25" s="135"/>
      <c r="AW25" s="135"/>
      <c r="AX25" s="135"/>
      <c r="AY25" s="135"/>
      <c r="AZ25" s="135"/>
      <c r="BA25" s="135"/>
      <c r="BB25" s="135"/>
      <c r="BC25" s="135"/>
      <c r="BD25" s="135"/>
      <c r="BE25" s="135"/>
      <c r="BF25" s="135"/>
      <c r="BG25" s="135"/>
      <c r="BH25" s="135"/>
      <c r="BI25" s="135"/>
      <c r="BJ25" s="135"/>
      <c r="BK25" s="135"/>
      <c r="BL25" s="135"/>
      <c r="BM25" s="135"/>
      <c r="BN25" s="135"/>
      <c r="BO25" s="135"/>
      <c r="BP25" s="135"/>
      <c r="BQ25" s="135"/>
      <c r="BR25" s="135"/>
      <c r="BS25" s="135"/>
      <c r="BT25" s="135"/>
      <c r="BU25" s="135"/>
      <c r="BV25" s="135"/>
      <c r="BW25" s="135"/>
      <c r="BX25" s="135"/>
      <c r="BY25" s="135"/>
      <c r="BZ25" s="135"/>
      <c r="CA25" s="135"/>
      <c r="CB25" s="135"/>
      <c r="CC25" s="135"/>
      <c r="CD25" s="135"/>
      <c r="CE25" s="135"/>
      <c r="CF25" s="135"/>
      <c r="CG25" s="135"/>
      <c r="CH25" s="135"/>
      <c r="CI25" s="135"/>
      <c r="CJ25" s="135"/>
      <c r="CK25" s="135"/>
      <c r="CL25" s="135"/>
      <c r="CM25" s="135"/>
      <c r="CN25" s="135"/>
      <c r="CO25" s="135"/>
      <c r="CP25" s="135"/>
      <c r="CQ25" s="135"/>
      <c r="CR25" s="135"/>
      <c r="CS25" s="135"/>
      <c r="CT25" s="135"/>
    </row>
    <row r="26" spans="2:98" x14ac:dyDescent="0.4">
      <c r="B26" s="145" t="s">
        <v>48</v>
      </c>
      <c r="C26" s="146">
        <f>-(SUMIF(CkReg13_14[Category],"=" &amp;CategoryTable8[[#This Row],[Category]],CkReg13_14[Withdrawal]))</f>
        <v>0</v>
      </c>
      <c r="D26" s="146">
        <v>-200</v>
      </c>
      <c r="E26" s="146">
        <f>+CategoryTable8[[#This Row],[Total]]-CategoryTable8[[#This Row],[Budget]]</f>
        <v>200</v>
      </c>
      <c r="F26" s="148"/>
      <c r="G26" s="46">
        <v>3094</v>
      </c>
      <c r="H26" s="47">
        <v>41671</v>
      </c>
      <c r="I26" s="46" t="s">
        <v>168</v>
      </c>
      <c r="J26" s="46" t="s">
        <v>39</v>
      </c>
      <c r="K26" s="48">
        <v>54.5</v>
      </c>
      <c r="L26" s="48"/>
      <c r="M26" s="141">
        <f>IF(ISBLANK(CkReg13_14[[#This Row],[Withdrawal]]),M25+CkReg13_14[[#This Row],[Deposit]],M25-CkReg13_14[[#This Row],[Withdrawal]])</f>
        <v>10923.51</v>
      </c>
      <c r="N26" s="49" t="s">
        <v>101</v>
      </c>
      <c r="O26" s="46"/>
      <c r="P26" s="50">
        <v>41673</v>
      </c>
      <c r="Q26" s="51">
        <v>10600.17</v>
      </c>
      <c r="R26" s="135"/>
      <c r="S26" s="135"/>
      <c r="T26" s="135"/>
      <c r="U26" s="135"/>
      <c r="V26" s="135"/>
      <c r="W26" s="135"/>
      <c r="X26" s="135"/>
      <c r="Y26" s="135"/>
      <c r="Z26" s="135"/>
      <c r="AA26" s="135"/>
      <c r="AB26" s="135"/>
      <c r="AC26" s="135"/>
      <c r="AD26" s="135"/>
      <c r="AE26" s="135"/>
      <c r="AF26" s="135"/>
      <c r="AG26" s="135"/>
      <c r="AH26" s="135"/>
      <c r="AI26" s="135"/>
      <c r="AJ26" s="135"/>
      <c r="AK26" s="135"/>
      <c r="AL26" s="135"/>
      <c r="AM26" s="135"/>
      <c r="AN26" s="135"/>
      <c r="AO26" s="135"/>
      <c r="AP26" s="135"/>
      <c r="AQ26" s="135"/>
      <c r="AR26" s="135"/>
      <c r="AS26" s="135"/>
      <c r="AT26" s="135"/>
      <c r="AU26" s="135"/>
      <c r="AV26" s="135"/>
      <c r="AW26" s="135"/>
      <c r="AX26" s="135"/>
      <c r="AY26" s="135"/>
      <c r="AZ26" s="135"/>
      <c r="BA26" s="135"/>
      <c r="BB26" s="135"/>
      <c r="BC26" s="135"/>
      <c r="BD26" s="135"/>
      <c r="BE26" s="135"/>
      <c r="BF26" s="135"/>
      <c r="BG26" s="135"/>
      <c r="BH26" s="135"/>
      <c r="BI26" s="135"/>
      <c r="BJ26" s="135"/>
      <c r="BK26" s="135"/>
      <c r="BL26" s="135"/>
      <c r="BM26" s="135"/>
      <c r="BN26" s="135"/>
      <c r="BO26" s="135"/>
      <c r="BP26" s="135"/>
      <c r="BQ26" s="135"/>
      <c r="BR26" s="135"/>
      <c r="BS26" s="135"/>
      <c r="BT26" s="135"/>
      <c r="BU26" s="135"/>
      <c r="BV26" s="135"/>
      <c r="BW26" s="135"/>
      <c r="BX26" s="135"/>
      <c r="BY26" s="135"/>
      <c r="BZ26" s="135"/>
      <c r="CA26" s="135"/>
      <c r="CB26" s="135"/>
      <c r="CC26" s="135"/>
      <c r="CD26" s="135"/>
      <c r="CE26" s="135"/>
      <c r="CF26" s="135"/>
      <c r="CG26" s="135"/>
      <c r="CH26" s="135"/>
      <c r="CI26" s="135"/>
      <c r="CJ26" s="135"/>
      <c r="CK26" s="135"/>
      <c r="CL26" s="135"/>
      <c r="CM26" s="135"/>
      <c r="CN26" s="135"/>
      <c r="CO26" s="135"/>
      <c r="CP26" s="135"/>
      <c r="CQ26" s="135"/>
      <c r="CR26" s="135"/>
      <c r="CS26" s="135"/>
      <c r="CT26" s="135"/>
    </row>
    <row r="27" spans="2:98" s="45" customFormat="1" ht="13.95" customHeight="1" x14ac:dyDescent="0.3">
      <c r="B27" s="145" t="s">
        <v>49</v>
      </c>
      <c r="C27" s="146">
        <f>-(SUMIF(CkReg13_14[Category],"=" &amp;CategoryTable8[[#This Row],[Category]],CkReg13_14[Withdrawal]))</f>
        <v>-22.88</v>
      </c>
      <c r="D27" s="146">
        <v>-200</v>
      </c>
      <c r="E27" s="146">
        <f>+CategoryTable8[[#This Row],[Total]]-CategoryTable8[[#This Row],[Budget]]</f>
        <v>177.12</v>
      </c>
      <c r="G27" s="46">
        <v>3095</v>
      </c>
      <c r="H27" s="47">
        <v>41671</v>
      </c>
      <c r="I27" s="46" t="s">
        <v>171</v>
      </c>
      <c r="J27" s="46" t="s">
        <v>160</v>
      </c>
      <c r="K27" s="48">
        <v>250</v>
      </c>
      <c r="L27" s="48"/>
      <c r="M27" s="141">
        <f>IF(ISBLANK(CkReg13_14[[#This Row],[Withdrawal]]),M26+CkReg13_14[[#This Row],[Deposit]],M26-CkReg13_14[[#This Row],[Withdrawal]])</f>
        <v>10673.51</v>
      </c>
      <c r="N27" s="49" t="s">
        <v>101</v>
      </c>
      <c r="O27" s="46"/>
      <c r="P27" s="50">
        <v>41701</v>
      </c>
      <c r="Q27" s="51">
        <f>75+115+264.92+190</f>
        <v>644.92000000000007</v>
      </c>
    </row>
    <row r="28" spans="2:98" s="45" customFormat="1" ht="13.95" customHeight="1" x14ac:dyDescent="0.3">
      <c r="B28" s="145" t="s">
        <v>50</v>
      </c>
      <c r="C28" s="146">
        <f>-(SUMIF(CkReg13_14[Category],"=" &amp;CategoryTable8[[#This Row],[Category]],CkReg13_14[Withdrawal]))</f>
        <v>0</v>
      </c>
      <c r="D28" s="146">
        <v>-50</v>
      </c>
      <c r="E28" s="146">
        <f>+CategoryTable8[[#This Row],[Total]]-CategoryTable8[[#This Row],[Budget]]</f>
        <v>50</v>
      </c>
      <c r="G28" s="46">
        <v>3097</v>
      </c>
      <c r="H28" s="47">
        <v>41671</v>
      </c>
      <c r="I28" s="46" t="s">
        <v>87</v>
      </c>
      <c r="J28" s="46"/>
      <c r="K28" s="48">
        <v>0</v>
      </c>
      <c r="L28" s="48"/>
      <c r="M28" s="141">
        <f>IF(ISBLANK(CkReg13_14[[#This Row],[Withdrawal]]),M27+CkReg13_14[[#This Row],[Deposit]],M27-CkReg13_14[[#This Row],[Withdrawal]])</f>
        <v>10673.51</v>
      </c>
      <c r="N28" s="49" t="s">
        <v>101</v>
      </c>
      <c r="O28" s="46"/>
      <c r="P28" s="50" t="s">
        <v>349</v>
      </c>
      <c r="Q28" s="51">
        <f>+K26+K27</f>
        <v>304.5</v>
      </c>
    </row>
    <row r="29" spans="2:98" s="45" customFormat="1" ht="13.95" customHeight="1" x14ac:dyDescent="0.3">
      <c r="B29" s="145" t="s">
        <v>51</v>
      </c>
      <c r="C29" s="146">
        <f>-(SUMIF(CkReg13_14[Category],"=" &amp;CategoryTable8[[#This Row],[Category]],CkReg13_14[Withdrawal]))</f>
        <v>-240</v>
      </c>
      <c r="D29" s="146">
        <v>-790</v>
      </c>
      <c r="E29" s="146">
        <f>+CategoryTable8[[#This Row],[Total]]-CategoryTable8[[#This Row],[Budget]]</f>
        <v>550</v>
      </c>
      <c r="G29" s="46">
        <v>3098</v>
      </c>
      <c r="H29" s="47">
        <v>41671</v>
      </c>
      <c r="I29" s="46" t="s">
        <v>170</v>
      </c>
      <c r="J29" s="46" t="s">
        <v>34</v>
      </c>
      <c r="K29" s="48">
        <v>323.75</v>
      </c>
      <c r="L29" s="48"/>
      <c r="M29" s="141">
        <f>IF(ISBLANK(CkReg13_14[[#This Row],[Withdrawal]]),M28+CkReg13_14[[#This Row],[Deposit]],M28-CkReg13_14[[#This Row],[Withdrawal]])</f>
        <v>10349.76</v>
      </c>
      <c r="N29" s="49" t="s">
        <v>101</v>
      </c>
      <c r="O29" s="46"/>
      <c r="P29" s="50">
        <v>41691</v>
      </c>
      <c r="Q29" s="51">
        <f>+Q27-Q28</f>
        <v>340.42000000000007</v>
      </c>
    </row>
    <row r="30" spans="2:98" s="45" customFormat="1" ht="13.95" customHeight="1" x14ac:dyDescent="0.3">
      <c r="B30" s="145" t="s">
        <v>52</v>
      </c>
      <c r="C30" s="146">
        <f>-(SUMIF(CkReg13_14[Category],"=" &amp;CategoryTable8[[#This Row],[Category]],CkReg13_14[Withdrawal]))</f>
        <v>-140.97999999999999</v>
      </c>
      <c r="D30" s="146">
        <v>-100</v>
      </c>
      <c r="E30" s="146">
        <f>+CategoryTable8[[#This Row],[Total]]-CategoryTable8[[#This Row],[Budget]]</f>
        <v>-40.97999999999999</v>
      </c>
      <c r="G30" s="147"/>
      <c r="H30" s="47">
        <v>41675</v>
      </c>
      <c r="I30" s="147" t="s">
        <v>176</v>
      </c>
      <c r="J30" s="147" t="s">
        <v>33</v>
      </c>
      <c r="K30" s="150"/>
      <c r="L30" s="150">
        <v>264.92</v>
      </c>
      <c r="M30" s="141">
        <f>IF(ISBLANK(CkReg13_14[[#This Row],[Withdrawal]]),M29+CkReg13_14[[#This Row],[Deposit]],M29-CkReg13_14[[#This Row],[Withdrawal]])</f>
        <v>10614.68</v>
      </c>
      <c r="N30" s="49" t="s">
        <v>101</v>
      </c>
      <c r="O30" s="46" t="s">
        <v>329</v>
      </c>
      <c r="P30" s="50">
        <v>41725</v>
      </c>
      <c r="Q30" s="51"/>
    </row>
    <row r="31" spans="2:98" s="45" customFormat="1" ht="13.8" x14ac:dyDescent="0.3">
      <c r="B31" s="145" t="s">
        <v>53</v>
      </c>
      <c r="C31" s="146">
        <f>-(SUMIF(CkReg13_14[Category],"=" &amp;CategoryTable8[[#This Row],[Category]],CkReg13_14[Withdrawal]))</f>
        <v>-29.09</v>
      </c>
      <c r="D31" s="146">
        <v>-100</v>
      </c>
      <c r="E31" s="146">
        <f>+CategoryTable8[[#This Row],[Total]]-CategoryTable8[[#This Row],[Budget]]</f>
        <v>70.91</v>
      </c>
      <c r="G31" s="46"/>
      <c r="H31" s="47">
        <v>41689</v>
      </c>
      <c r="I31" s="46" t="s">
        <v>11</v>
      </c>
      <c r="J31" s="46" t="s">
        <v>33</v>
      </c>
      <c r="K31" s="48"/>
      <c r="L31" s="48">
        <v>190</v>
      </c>
      <c r="M31" s="141">
        <f>IF(ISBLANK(CkReg13_14[[#This Row],[Withdrawal]]),M30+CkReg13_14[[#This Row],[Deposit]],M30-CkReg13_14[[#This Row],[Withdrawal]])</f>
        <v>10804.68</v>
      </c>
      <c r="N31" s="49"/>
      <c r="O31" s="46" t="s">
        <v>330</v>
      </c>
      <c r="P31" s="50">
        <v>41701</v>
      </c>
      <c r="Q31" s="51"/>
    </row>
    <row r="32" spans="2:98" s="45" customFormat="1" ht="13.95" customHeight="1" x14ac:dyDescent="0.3">
      <c r="B32" s="145" t="s">
        <v>54</v>
      </c>
      <c r="C32" s="146">
        <f>-(SUMIF(CkReg13_14[Category],"=" &amp;CategoryTable8[[#This Row],[Category]],CkReg13_14[Withdrawal]))</f>
        <v>0</v>
      </c>
      <c r="D32" s="146">
        <v>-50</v>
      </c>
      <c r="E32" s="146">
        <f>+CategoryTable8[[#This Row],[Total]]-CategoryTable8[[#This Row],[Budget]]</f>
        <v>50</v>
      </c>
      <c r="G32" s="46"/>
      <c r="H32" s="47">
        <v>41698</v>
      </c>
      <c r="I32" s="46" t="s">
        <v>11</v>
      </c>
      <c r="J32" s="46" t="s">
        <v>91</v>
      </c>
      <c r="K32" s="48"/>
      <c r="L32" s="48">
        <v>0.41</v>
      </c>
      <c r="M32" s="141">
        <f>IF(ISBLANK(CkReg13_14[[#This Row],[Withdrawal]]),M31+CkReg13_14[[#This Row],[Deposit]],M31-CkReg13_14[[#This Row],[Withdrawal]])</f>
        <v>10805.09</v>
      </c>
      <c r="N32" s="49" t="s">
        <v>101</v>
      </c>
      <c r="O32" s="46"/>
      <c r="P32" s="50">
        <v>41698</v>
      </c>
      <c r="Q32" s="51"/>
    </row>
    <row r="33" spans="2:18" s="45" customFormat="1" ht="13.95" customHeight="1" x14ac:dyDescent="0.3">
      <c r="B33" s="145" t="s">
        <v>55</v>
      </c>
      <c r="C33" s="146">
        <f>-(SUMIF(CkReg13_14[Category],"=" &amp;CategoryTable8[[#This Row],[Category]],CkReg13_14[Withdrawal]))</f>
        <v>-2000</v>
      </c>
      <c r="D33" s="146">
        <v>-2000</v>
      </c>
      <c r="E33" s="146">
        <f>+CategoryTable8[[#This Row],[Total]]-CategoryTable8[[#This Row],[Budget]]</f>
        <v>0</v>
      </c>
      <c r="G33" s="46">
        <v>3099</v>
      </c>
      <c r="H33" s="47">
        <v>41726</v>
      </c>
      <c r="I33" s="46" t="s">
        <v>163</v>
      </c>
      <c r="J33" s="46" t="s">
        <v>44</v>
      </c>
      <c r="K33" s="48">
        <v>272.72000000000003</v>
      </c>
      <c r="L33" s="48"/>
      <c r="M33" s="141">
        <f>IF(ISBLANK(CkReg13_14[[#This Row],[Withdrawal]]),M32+CkReg13_14[[#This Row],[Deposit]],M32-CkReg13_14[[#This Row],[Withdrawal]])</f>
        <v>10532.37</v>
      </c>
      <c r="N33" s="49" t="s">
        <v>101</v>
      </c>
      <c r="O33" s="46"/>
      <c r="P33" s="50">
        <v>41733</v>
      </c>
      <c r="Q33" s="51">
        <v>10805.53</v>
      </c>
    </row>
    <row r="34" spans="2:18" s="45" customFormat="1" ht="13.95" customHeight="1" x14ac:dyDescent="0.3">
      <c r="B34" s="145" t="s">
        <v>56</v>
      </c>
      <c r="C34" s="146">
        <f>-(SUMIF(CkReg13_14[Category],"=" &amp;CategoryTable8[[#This Row],[Category]],CkReg13_14[Withdrawal]))</f>
        <v>-3000</v>
      </c>
      <c r="D34" s="146">
        <v>-3000</v>
      </c>
      <c r="E34" s="146">
        <f>+CategoryTable8[[#This Row],[Total]]-CategoryTable8[[#This Row],[Budget]]</f>
        <v>0</v>
      </c>
      <c r="G34" s="46">
        <v>3100</v>
      </c>
      <c r="H34" s="47">
        <v>41726</v>
      </c>
      <c r="I34" s="46" t="s">
        <v>163</v>
      </c>
      <c r="J34" s="46" t="s">
        <v>44</v>
      </c>
      <c r="K34" s="48">
        <v>53.5</v>
      </c>
      <c r="L34" s="48"/>
      <c r="M34" s="141">
        <f>IF(ISBLANK(CkReg13_14[[#This Row],[Withdrawal]]),M33+CkReg13_14[[#This Row],[Deposit]],M33-CkReg13_14[[#This Row],[Withdrawal]])</f>
        <v>10478.870000000001</v>
      </c>
      <c r="N34" s="49" t="s">
        <v>101</v>
      </c>
      <c r="O34" s="46"/>
      <c r="P34" s="50">
        <v>41733</v>
      </c>
      <c r="Q34" s="51">
        <f>+L18+L22</f>
        <v>0</v>
      </c>
    </row>
    <row r="35" spans="2:18" s="45" customFormat="1" ht="13.95" customHeight="1" x14ac:dyDescent="0.3">
      <c r="B35" s="145" t="s">
        <v>57</v>
      </c>
      <c r="C35" s="146">
        <f>-(SUMIF(CkReg13_14[Category],"=" &amp;CategoryTable8[[#This Row],[Category]],CkReg13_14[Withdrawal]))</f>
        <v>-1542.73</v>
      </c>
      <c r="D35" s="146">
        <v>-1000</v>
      </c>
      <c r="E35" s="146">
        <f>+CategoryTable8[[#This Row],[Total]]-CategoryTable8[[#This Row],[Budget]]</f>
        <v>-542.73</v>
      </c>
      <c r="G35" s="46">
        <v>3101</v>
      </c>
      <c r="H35" s="47">
        <v>41726</v>
      </c>
      <c r="I35" s="46" t="s">
        <v>164</v>
      </c>
      <c r="J35" s="46" t="s">
        <v>39</v>
      </c>
      <c r="K35" s="48">
        <v>53.1</v>
      </c>
      <c r="L35" s="48"/>
      <c r="M35" s="141">
        <f>IF(ISBLANK(CkReg13_14[[#This Row],[Withdrawal]]),M34+CkReg13_14[[#This Row],[Deposit]],M34-CkReg13_14[[#This Row],[Withdrawal]])</f>
        <v>10425.77</v>
      </c>
      <c r="N35" s="49" t="s">
        <v>101</v>
      </c>
      <c r="O35" s="46"/>
      <c r="P35" s="50">
        <v>41752</v>
      </c>
      <c r="Q35" s="51">
        <f>+Q33+Q34</f>
        <v>10805.53</v>
      </c>
    </row>
    <row r="36" spans="2:18" s="45" customFormat="1" ht="13.95" customHeight="1" x14ac:dyDescent="0.3">
      <c r="B36" s="145" t="s">
        <v>58</v>
      </c>
      <c r="C36" s="146">
        <f>-(SUMIF(CkReg13_14[Category],"=" &amp;CategoryTable8[[#This Row],[Category]],CkReg13_14[Withdrawal]))</f>
        <v>-296</v>
      </c>
      <c r="D36" s="146">
        <v>-296</v>
      </c>
      <c r="E36" s="146">
        <f>+CategoryTable8[[#This Row],[Total]]-CategoryTable8[[#This Row],[Budget]]</f>
        <v>0</v>
      </c>
      <c r="G36" s="46">
        <v>3101</v>
      </c>
      <c r="H36" s="47">
        <v>41726</v>
      </c>
      <c r="I36" s="46" t="s">
        <v>164</v>
      </c>
      <c r="J36" s="46" t="s">
        <v>36</v>
      </c>
      <c r="K36" s="48">
        <v>17.7</v>
      </c>
      <c r="L36" s="48"/>
      <c r="M36" s="141">
        <f>IF(ISBLANK(CkReg13_14[[#This Row],[Withdrawal]]),M35+CkReg13_14[[#This Row],[Deposit]],M35-CkReg13_14[[#This Row],[Withdrawal]])</f>
        <v>10408.07</v>
      </c>
      <c r="N36" s="49" t="s">
        <v>101</v>
      </c>
      <c r="O36" s="46"/>
      <c r="P36" s="50">
        <v>41752</v>
      </c>
      <c r="Q36" s="51">
        <f>+K27+K33+K34+K35+CkReg13_14[[#This Row],[Withdrawal]]</f>
        <v>647.0200000000001</v>
      </c>
    </row>
    <row r="37" spans="2:18" s="45" customFormat="1" ht="13.95" customHeight="1" x14ac:dyDescent="0.3">
      <c r="B37" s="145" t="s">
        <v>59</v>
      </c>
      <c r="C37" s="146">
        <f>-(SUMIF(CkReg13_14[Category],"=" &amp;CategoryTable8[[#This Row],[Category]],CkReg13_14[Withdrawal]))</f>
        <v>-198</v>
      </c>
      <c r="D37" s="146">
        <v>-198</v>
      </c>
      <c r="E37" s="146">
        <f>+CategoryTable8[[#This Row],[Total]]-CategoryTable8[[#This Row],[Budget]]</f>
        <v>0</v>
      </c>
      <c r="G37" s="46"/>
      <c r="H37" s="47">
        <v>41729</v>
      </c>
      <c r="I37" s="46" t="s">
        <v>192</v>
      </c>
      <c r="J37" s="46" t="s">
        <v>91</v>
      </c>
      <c r="K37" s="48"/>
      <c r="L37" s="48">
        <v>0.44</v>
      </c>
      <c r="M37" s="141">
        <f>IF(ISBLANK(CkReg13_14[[#This Row],[Withdrawal]]),M36+CkReg13_14[[#This Row],[Deposit]],M36-CkReg13_14[[#This Row],[Withdrawal]])</f>
        <v>10408.51</v>
      </c>
      <c r="N37" s="49" t="s">
        <v>101</v>
      </c>
      <c r="O37" s="46"/>
      <c r="P37" s="50">
        <v>41729</v>
      </c>
      <c r="Q37" s="51">
        <f>+Q35-Q36</f>
        <v>10158.51</v>
      </c>
      <c r="R37" s="153"/>
    </row>
    <row r="38" spans="2:18" s="45" customFormat="1" ht="13.95" customHeight="1" x14ac:dyDescent="0.3">
      <c r="B38" s="145" t="s">
        <v>60</v>
      </c>
      <c r="C38" s="146">
        <f>SUMIF(CkReg13_14[Category],"=" &amp;CategoryTable8[[#This Row],[Category]],CkReg13_14[Deposit])</f>
        <v>8106.35</v>
      </c>
      <c r="D38" s="146">
        <v>5000</v>
      </c>
      <c r="E38" s="146">
        <f>+CategoryTable8[[#This Row],[Total]]-CategoryTable8[[#This Row],[Budget]]</f>
        <v>3106.3500000000004</v>
      </c>
      <c r="G38" s="159">
        <v>3110</v>
      </c>
      <c r="H38" s="162">
        <v>41734</v>
      </c>
      <c r="I38" s="159" t="s">
        <v>179</v>
      </c>
      <c r="J38" s="159" t="s">
        <v>74</v>
      </c>
      <c r="K38" s="157">
        <v>75</v>
      </c>
      <c r="L38" s="157"/>
      <c r="M38" s="141">
        <f>IF(ISBLANK(CkReg13_14[[#This Row],[Withdrawal]]),M37+CkReg13_14[[#This Row],[Deposit]],M37-CkReg13_14[[#This Row],[Withdrawal]])</f>
        <v>10333.51</v>
      </c>
      <c r="N38" s="158" t="s">
        <v>101</v>
      </c>
      <c r="O38" s="159"/>
      <c r="P38" s="160" t="s">
        <v>348</v>
      </c>
      <c r="Q38" s="161" t="s">
        <v>343</v>
      </c>
    </row>
    <row r="39" spans="2:18" s="45" customFormat="1" ht="13.95" customHeight="1" x14ac:dyDescent="0.3">
      <c r="B39" s="145" t="s">
        <v>61</v>
      </c>
      <c r="C39" s="146">
        <f>SUMIF(CkReg13_14[Category],"=" &amp;CategoryTable8[[#This Row],[Category]],CkReg13_14[Deposit])</f>
        <v>13312.18</v>
      </c>
      <c r="D39" s="146">
        <v>13000</v>
      </c>
      <c r="E39" s="146">
        <f>+CategoryTable8[[#This Row],[Total]]-CategoryTable8[[#This Row],[Budget]]</f>
        <v>312.18000000000029</v>
      </c>
      <c r="G39" s="159">
        <v>3110</v>
      </c>
      <c r="H39" s="162">
        <v>41734</v>
      </c>
      <c r="I39" s="159" t="s">
        <v>179</v>
      </c>
      <c r="J39" s="159" t="s">
        <v>74</v>
      </c>
      <c r="K39" s="157"/>
      <c r="L39" s="157">
        <v>75</v>
      </c>
      <c r="M39" s="141">
        <f>IF(ISBLANK(CkReg13_14[[#This Row],[Withdrawal]]),M38+CkReg13_14[[#This Row],[Deposit]],M38-CkReg13_14[[#This Row],[Withdrawal]])</f>
        <v>10408.51</v>
      </c>
      <c r="N39" s="158"/>
      <c r="O39" s="159"/>
      <c r="P39" s="160" t="s">
        <v>348</v>
      </c>
      <c r="Q39" s="167" t="s">
        <v>343</v>
      </c>
    </row>
    <row r="40" spans="2:18" s="45" customFormat="1" ht="13.95" customHeight="1" x14ac:dyDescent="0.3">
      <c r="B40" s="145" t="s">
        <v>62</v>
      </c>
      <c r="C40" s="146">
        <f>-(SUMIF(CkReg13_14[Category],"=" &amp;CategoryTable8[[#This Row],[Category]],CkReg13_14[Withdrawal]))</f>
        <v>-50</v>
      </c>
      <c r="D40" s="146">
        <v>-50</v>
      </c>
      <c r="E40" s="146">
        <f>+CategoryTable8[[#This Row],[Total]]-CategoryTable8[[#This Row],[Budget]]</f>
        <v>0</v>
      </c>
      <c r="G40" s="46">
        <v>3102</v>
      </c>
      <c r="H40" s="47">
        <v>41734</v>
      </c>
      <c r="I40" s="46" t="s">
        <v>165</v>
      </c>
      <c r="J40" s="46" t="s">
        <v>58</v>
      </c>
      <c r="K40" s="48">
        <v>296</v>
      </c>
      <c r="L40" s="48"/>
      <c r="M40" s="141">
        <f>IF(ISBLANK(CkReg13_14[[#This Row],[Withdrawal]]),M39+CkReg13_14[[#This Row],[Deposit]],M39-CkReg13_14[[#This Row],[Withdrawal]])</f>
        <v>10112.51</v>
      </c>
      <c r="N40" s="49" t="s">
        <v>101</v>
      </c>
      <c r="O40" s="46"/>
      <c r="P40" s="50">
        <v>41752</v>
      </c>
      <c r="Q40" s="51"/>
    </row>
    <row r="41" spans="2:18" s="45" customFormat="1" ht="13.95" customHeight="1" x14ac:dyDescent="0.3">
      <c r="B41" s="145" t="s">
        <v>63</v>
      </c>
      <c r="C41" s="146">
        <f>-(SUMIF(CkReg13_14[Category],"=" &amp;CategoryTable8[[#This Row],[Category]],CkReg13_14[Withdrawal]))</f>
        <v>-100</v>
      </c>
      <c r="D41" s="146">
        <v>-100</v>
      </c>
      <c r="E41" s="146">
        <f>+CategoryTable8[[#This Row],[Total]]-CategoryTable8[[#This Row],[Budget]]</f>
        <v>0</v>
      </c>
      <c r="G41" s="46">
        <v>3103</v>
      </c>
      <c r="H41" s="47">
        <v>41734</v>
      </c>
      <c r="I41" s="46" t="s">
        <v>166</v>
      </c>
      <c r="J41" s="46" t="s">
        <v>59</v>
      </c>
      <c r="K41" s="48">
        <v>198</v>
      </c>
      <c r="L41" s="48"/>
      <c r="M41" s="141">
        <f>IF(ISBLANK(CkReg13_14[[#This Row],[Withdrawal]]),M40+CkReg13_14[[#This Row],[Deposit]],M40-CkReg13_14[[#This Row],[Withdrawal]])</f>
        <v>9914.51</v>
      </c>
      <c r="N41" s="49" t="s">
        <v>101</v>
      </c>
      <c r="O41" s="46"/>
      <c r="P41" s="50">
        <v>41747</v>
      </c>
      <c r="Q41" s="51"/>
    </row>
    <row r="42" spans="2:18" s="45" customFormat="1" ht="13.95" customHeight="1" x14ac:dyDescent="0.3">
      <c r="B42" s="145" t="s">
        <v>64</v>
      </c>
      <c r="C42" s="146">
        <f>-(SUMIF(CkReg13_14[Category],"=" &amp;CategoryTable8[[#This Row],[Category]],CkReg13_14[Withdrawal]))</f>
        <v>-50</v>
      </c>
      <c r="D42" s="146">
        <v>-50</v>
      </c>
      <c r="E42" s="146">
        <f>+CategoryTable8[[#This Row],[Total]]-CategoryTable8[[#This Row],[Budget]]</f>
        <v>0</v>
      </c>
      <c r="G42" s="46">
        <v>3104</v>
      </c>
      <c r="H42" s="47">
        <v>41734</v>
      </c>
      <c r="I42" s="46" t="s">
        <v>84</v>
      </c>
      <c r="J42" s="46" t="s">
        <v>51</v>
      </c>
      <c r="K42" s="48">
        <v>80</v>
      </c>
      <c r="L42" s="48"/>
      <c r="M42" s="141">
        <f>IF(ISBLANK(CkReg13_14[[#This Row],[Withdrawal]]),M41+CkReg13_14[[#This Row],[Deposit]],M41-CkReg13_14[[#This Row],[Withdrawal]])</f>
        <v>9834.51</v>
      </c>
      <c r="N42" s="49" t="s">
        <v>101</v>
      </c>
      <c r="O42" s="46"/>
      <c r="P42" s="50">
        <v>41736</v>
      </c>
      <c r="Q42" s="51">
        <v>10235.35</v>
      </c>
    </row>
    <row r="43" spans="2:18" s="45" customFormat="1" ht="13.95" customHeight="1" x14ac:dyDescent="0.3">
      <c r="B43" s="145" t="s">
        <v>65</v>
      </c>
      <c r="C43" s="146">
        <f>-(SUMIF(CkReg13_14[Category],"=" &amp;CategoryTable8[[#This Row],[Category]],CkReg13_14[Withdrawal]))</f>
        <v>0</v>
      </c>
      <c r="D43" s="146">
        <v>-50</v>
      </c>
      <c r="E43" s="146">
        <f>+CategoryTable8[[#This Row],[Total]]-CategoryTable8[[#This Row],[Budget]]</f>
        <v>50</v>
      </c>
      <c r="G43" s="46">
        <v>3105</v>
      </c>
      <c r="H43" s="47">
        <v>41734</v>
      </c>
      <c r="I43" s="46" t="s">
        <v>84</v>
      </c>
      <c r="J43" s="46" t="s">
        <v>47</v>
      </c>
      <c r="K43" s="48">
        <v>12.78</v>
      </c>
      <c r="L43" s="48"/>
      <c r="M43" s="141">
        <f>IF(ISBLANK(CkReg13_14[[#This Row],[Withdrawal]]),M42+CkReg13_14[[#This Row],[Deposit]],M42-CkReg13_14[[#This Row],[Withdrawal]])</f>
        <v>9821.73</v>
      </c>
      <c r="N43" s="49" t="s">
        <v>101</v>
      </c>
      <c r="O43" s="46"/>
      <c r="P43" s="50">
        <v>41736</v>
      </c>
      <c r="Q43" s="51">
        <v>190</v>
      </c>
    </row>
    <row r="44" spans="2:18" s="45" customFormat="1" ht="13.95" customHeight="1" x14ac:dyDescent="0.3">
      <c r="B44" s="145" t="s">
        <v>66</v>
      </c>
      <c r="C44" s="146">
        <f>-(SUMIF(CkReg13_14[Category],"=" &amp;CategoryTable8[[#This Row],[Category]],CkReg13_14[Withdrawal]))</f>
        <v>-3536.3099999999995</v>
      </c>
      <c r="D44" s="146">
        <v>-3500</v>
      </c>
      <c r="E44" s="146">
        <f>+CategoryTable8[[#This Row],[Total]]-CategoryTable8[[#This Row],[Budget]]</f>
        <v>-36.309999999999491</v>
      </c>
      <c r="G44" s="46">
        <v>3106</v>
      </c>
      <c r="H44" s="47">
        <v>41734</v>
      </c>
      <c r="I44" s="46" t="s">
        <v>172</v>
      </c>
      <c r="J44" s="46" t="s">
        <v>52</v>
      </c>
      <c r="K44" s="48">
        <v>40.6</v>
      </c>
      <c r="L44" s="48"/>
      <c r="M44" s="141">
        <f>IF(ISBLANK(CkReg13_14[[#This Row],[Withdrawal]]),M43+CkReg13_14[[#This Row],[Deposit]],M43-CkReg13_14[[#This Row],[Withdrawal]])</f>
        <v>9781.1299999999992</v>
      </c>
      <c r="N44" s="49" t="s">
        <v>101</v>
      </c>
      <c r="O44" s="46"/>
      <c r="P44" s="50">
        <v>41750</v>
      </c>
      <c r="Q44" s="51">
        <f>+Q42+Q43</f>
        <v>10425.35</v>
      </c>
    </row>
    <row r="45" spans="2:18" s="45" customFormat="1" ht="13.95" customHeight="1" x14ac:dyDescent="0.3">
      <c r="B45" s="145" t="s">
        <v>67</v>
      </c>
      <c r="C45" s="146">
        <f>-(SUMIF(CkReg13_14[Category],"=" &amp;CategoryTable8[[#This Row],[Category]],CkReg13_14[Withdrawal]))</f>
        <v>-3699.19</v>
      </c>
      <c r="D45" s="146">
        <v>-3500</v>
      </c>
      <c r="E45" s="146">
        <f>+CategoryTable8[[#This Row],[Total]]-CategoryTable8[[#This Row],[Budget]]</f>
        <v>-199.19000000000005</v>
      </c>
      <c r="G45" s="46">
        <v>3107</v>
      </c>
      <c r="H45" s="47">
        <v>41734</v>
      </c>
      <c r="I45" s="46" t="s">
        <v>173</v>
      </c>
      <c r="J45" s="46" t="s">
        <v>57</v>
      </c>
      <c r="K45" s="48">
        <v>151.63</v>
      </c>
      <c r="L45" s="48"/>
      <c r="M45" s="141">
        <f>IF(ISBLANK(CkReg13_14[[#This Row],[Withdrawal]]),M44+CkReg13_14[[#This Row],[Deposit]],M44-CkReg13_14[[#This Row],[Withdrawal]])</f>
        <v>9629.5</v>
      </c>
      <c r="N45" s="49" t="s">
        <v>101</v>
      </c>
      <c r="O45" s="46"/>
      <c r="P45" s="50">
        <v>41761</v>
      </c>
      <c r="Q45" s="51">
        <f>75+151.63+250</f>
        <v>476.63</v>
      </c>
    </row>
    <row r="46" spans="2:18" s="45" customFormat="1" ht="13.95" customHeight="1" x14ac:dyDescent="0.3">
      <c r="B46" s="145" t="s">
        <v>68</v>
      </c>
      <c r="C46" s="146">
        <f>-(SUMIF(CkReg13_14[Category],"=" &amp;CategoryTable8[[#This Row],[Category]],CkReg13_14[Withdrawal]))</f>
        <v>-603.86</v>
      </c>
      <c r="D46" s="146">
        <v>-800</v>
      </c>
      <c r="E46" s="146">
        <f>+CategoryTable8[[#This Row],[Total]]-CategoryTable8[[#This Row],[Budget]]</f>
        <v>196.14</v>
      </c>
      <c r="G46" s="46">
        <v>3108</v>
      </c>
      <c r="H46" s="47">
        <v>41734</v>
      </c>
      <c r="I46" s="46" t="s">
        <v>131</v>
      </c>
      <c r="J46" s="46" t="s">
        <v>57</v>
      </c>
      <c r="K46" s="48">
        <v>32</v>
      </c>
      <c r="L46" s="48"/>
      <c r="M46" s="141">
        <f>IF(ISBLANK(CkReg13_14[[#This Row],[Withdrawal]]),M45+CkReg13_14[[#This Row],[Deposit]],M45-CkReg13_14[[#This Row],[Withdrawal]])</f>
        <v>9597.5</v>
      </c>
      <c r="N46" s="49" t="s">
        <v>101</v>
      </c>
      <c r="O46" s="46"/>
      <c r="P46" s="50">
        <v>41743</v>
      </c>
      <c r="Q46" s="51">
        <f>+Q44-Q45</f>
        <v>9948.7200000000012</v>
      </c>
    </row>
    <row r="47" spans="2:18" s="45" customFormat="1" ht="13.95" customHeight="1" x14ac:dyDescent="0.3">
      <c r="B47" s="145" t="s">
        <v>69</v>
      </c>
      <c r="C47" s="146">
        <f>-(SUMIF(CkReg13_14[Category],"=" &amp;CategoryTable8[[#This Row],[Category]],CkReg13_14[Withdrawal]))</f>
        <v>-4560</v>
      </c>
      <c r="D47" s="146">
        <v>-6000</v>
      </c>
      <c r="E47" s="146">
        <f>+CategoryTable8[[#This Row],[Total]]-CategoryTable8[[#This Row],[Budget]]</f>
        <v>1440</v>
      </c>
      <c r="G47" s="46">
        <v>3109</v>
      </c>
      <c r="H47" s="47">
        <v>41734</v>
      </c>
      <c r="I47" s="46" t="s">
        <v>174</v>
      </c>
      <c r="J47" s="46" t="s">
        <v>34</v>
      </c>
      <c r="K47" s="48">
        <v>38.96</v>
      </c>
      <c r="L47" s="48"/>
      <c r="M47" s="141">
        <f>IF(ISBLANK(CkReg13_14[[#This Row],[Withdrawal]]),M46+CkReg13_14[[#This Row],[Deposit]],M46-CkReg13_14[[#This Row],[Withdrawal]])</f>
        <v>9558.5400000000009</v>
      </c>
      <c r="N47" s="49" t="s">
        <v>101</v>
      </c>
      <c r="O47" s="46"/>
      <c r="P47" s="50">
        <v>41747</v>
      </c>
      <c r="Q47" s="51"/>
    </row>
    <row r="48" spans="2:18" s="45" customFormat="1" ht="13.95" customHeight="1" x14ac:dyDescent="0.3">
      <c r="B48" s="145" t="s">
        <v>70</v>
      </c>
      <c r="C48" s="146">
        <f>-(SUMIF(CkReg13_14[Category],"=" &amp;CategoryTable8[[#This Row],[Category]],CkReg13_14[Withdrawal]))</f>
        <v>-359.4</v>
      </c>
      <c r="D48" s="146">
        <v>-250</v>
      </c>
      <c r="E48" s="146">
        <f>+CategoryTable8[[#This Row],[Total]]-CategoryTable8[[#This Row],[Budget]]</f>
        <v>-109.39999999999998</v>
      </c>
      <c r="G48" s="46"/>
      <c r="H48" s="47">
        <v>41734</v>
      </c>
      <c r="I48" s="46" t="s">
        <v>175</v>
      </c>
      <c r="J48" s="46" t="s">
        <v>61</v>
      </c>
      <c r="K48" s="48"/>
      <c r="L48" s="48">
        <v>71</v>
      </c>
      <c r="M48" s="141">
        <f>IF(ISBLANK(CkReg13_14[[#This Row],[Withdrawal]]),M47+CkReg13_14[[#This Row],[Deposit]],M47-CkReg13_14[[#This Row],[Withdrawal]])</f>
        <v>9629.5400000000009</v>
      </c>
      <c r="N48" s="49" t="s">
        <v>101</v>
      </c>
      <c r="O48" s="46"/>
      <c r="P48" s="50">
        <v>41740</v>
      </c>
      <c r="Q48" s="51"/>
    </row>
    <row r="49" spans="2:17" s="45" customFormat="1" ht="13.95" customHeight="1" x14ac:dyDescent="0.3">
      <c r="B49" s="145" t="s">
        <v>71</v>
      </c>
      <c r="C49" s="146">
        <f>-(SUMIF(CkReg13_14[Category],"=" &amp;CategoryTable8[[#This Row],[Category]],CkReg13_14[Withdrawal]))</f>
        <v>0</v>
      </c>
      <c r="D49" s="146">
        <v>-40</v>
      </c>
      <c r="E49" s="146">
        <f>+CategoryTable8[[#This Row],[Total]]-CategoryTable8[[#This Row],[Budget]]</f>
        <v>40</v>
      </c>
      <c r="G49" s="46"/>
      <c r="H49" s="47">
        <v>41734</v>
      </c>
      <c r="I49" s="46" t="s">
        <v>11</v>
      </c>
      <c r="J49" s="46" t="s">
        <v>32</v>
      </c>
      <c r="K49" s="48"/>
      <c r="L49" s="48">
        <v>180</v>
      </c>
      <c r="M49" s="141">
        <f>IF(ISBLANK(CkReg13_14[[#This Row],[Withdrawal]]),M48+CkReg13_14[[#This Row],[Deposit]],M48-CkReg13_14[[#This Row],[Withdrawal]])</f>
        <v>9809.5400000000009</v>
      </c>
      <c r="N49" s="49" t="s">
        <v>101</v>
      </c>
      <c r="O49" s="46"/>
      <c r="P49" s="50">
        <v>41740</v>
      </c>
      <c r="Q49" s="51"/>
    </row>
    <row r="50" spans="2:17" s="45" customFormat="1" ht="13.95" customHeight="1" x14ac:dyDescent="0.3">
      <c r="B50" s="145" t="s">
        <v>72</v>
      </c>
      <c r="C50" s="146">
        <f>-(SUMIF(CkReg13_14[Category],"=" &amp;CategoryTable8[[#This Row],[Category]],CkReg13_14[Withdrawal]))</f>
        <v>0</v>
      </c>
      <c r="D50" s="146">
        <v>-125</v>
      </c>
      <c r="E50" s="146">
        <f>+CategoryTable8[[#This Row],[Total]]-CategoryTable8[[#This Row],[Budget]]</f>
        <v>125</v>
      </c>
      <c r="G50" s="46"/>
      <c r="H50" s="47">
        <v>41734</v>
      </c>
      <c r="I50" s="46" t="s">
        <v>177</v>
      </c>
      <c r="J50" s="46" t="s">
        <v>33</v>
      </c>
      <c r="K50" s="48"/>
      <c r="L50" s="48">
        <v>323.75</v>
      </c>
      <c r="M50" s="141">
        <f>IF(ISBLANK(CkReg13_14[[#This Row],[Withdrawal]]),M49+CkReg13_14[[#This Row],[Deposit]],M49-CkReg13_14[[#This Row],[Withdrawal]])</f>
        <v>10133.290000000001</v>
      </c>
      <c r="N50" s="49" t="s">
        <v>101</v>
      </c>
      <c r="O50" s="46"/>
      <c r="P50" s="50">
        <v>41740</v>
      </c>
      <c r="Q50" s="51">
        <v>9862.1</v>
      </c>
    </row>
    <row r="51" spans="2:17" s="45" customFormat="1" ht="13.95" customHeight="1" x14ac:dyDescent="0.3">
      <c r="B51" s="145" t="s">
        <v>73</v>
      </c>
      <c r="C51" s="146">
        <f>-(SUMIF(CkReg13_14[Category],"=" &amp;CategoryTable8[[#This Row],[Category]],CkReg13_14[Withdrawal]))</f>
        <v>-200</v>
      </c>
      <c r="D51" s="146">
        <v>-200</v>
      </c>
      <c r="E51" s="146">
        <f>+CategoryTable8[[#This Row],[Total]]-CategoryTable8[[#This Row],[Budget]]</f>
        <v>0</v>
      </c>
      <c r="G51" s="46">
        <v>3111</v>
      </c>
      <c r="H51" s="47">
        <v>41739</v>
      </c>
      <c r="I51" s="46" t="s">
        <v>92</v>
      </c>
      <c r="J51" s="46" t="s">
        <v>43</v>
      </c>
      <c r="K51" s="48">
        <v>50</v>
      </c>
      <c r="L51" s="48"/>
      <c r="M51" s="141">
        <f>IF(ISBLANK(CkReg13_14[[#This Row],[Withdrawal]]),M50+CkReg13_14[[#This Row],[Deposit]],M50-CkReg13_14[[#This Row],[Withdrawal]])</f>
        <v>10083.290000000001</v>
      </c>
      <c r="N51" s="49" t="s">
        <v>101</v>
      </c>
      <c r="O51" s="46"/>
      <c r="P51" s="50">
        <v>41744</v>
      </c>
      <c r="Q51" s="51">
        <f>+Q49+Q50</f>
        <v>9862.1</v>
      </c>
    </row>
    <row r="52" spans="2:17" s="45" customFormat="1" ht="13.95" customHeight="1" x14ac:dyDescent="0.3">
      <c r="B52" s="145" t="s">
        <v>74</v>
      </c>
      <c r="C52" s="146">
        <f>-(SUMIF(CkReg13_14[Category],"=" &amp;CategoryTable8[[#This Row],[Category]],CkReg13_14[Withdrawal]))</f>
        <v>-157.31</v>
      </c>
      <c r="D52" s="145">
        <v>-100</v>
      </c>
      <c r="E52" s="146">
        <f>+CategoryTable8[[#This Row],[Total]]-CategoryTable8[[#This Row],[Budget]]</f>
        <v>-57.31</v>
      </c>
      <c r="G52" s="46"/>
      <c r="H52" s="47">
        <v>41759</v>
      </c>
      <c r="I52" s="46" t="s">
        <v>90</v>
      </c>
      <c r="J52" s="46" t="s">
        <v>91</v>
      </c>
      <c r="K52" s="48"/>
      <c r="L52" s="48">
        <v>0.43</v>
      </c>
      <c r="M52" s="141">
        <f>IF(ISBLANK(CkReg13_14[[#This Row],[Withdrawal]]),M51+CkReg13_14[[#This Row],[Deposit]],M51-CkReg13_14[[#This Row],[Withdrawal]])</f>
        <v>10083.720000000001</v>
      </c>
      <c r="N52" s="49" t="s">
        <v>101</v>
      </c>
      <c r="O52" s="46"/>
      <c r="P52" s="50">
        <v>41759</v>
      </c>
      <c r="Q52" s="51">
        <v>325</v>
      </c>
    </row>
    <row r="53" spans="2:17" s="45" customFormat="1" ht="13.8" x14ac:dyDescent="0.3">
      <c r="B53" s="145"/>
      <c r="C53" s="146">
        <f>SUBTOTAL(109,C6:C52)</f>
        <v>13348.150000000005</v>
      </c>
      <c r="D53" s="146">
        <f>SUBTOTAL(109,D6:D52)</f>
        <v>0</v>
      </c>
      <c r="E53" s="146">
        <f>SUBTOTAL(109,E6:E52)</f>
        <v>13348.15</v>
      </c>
      <c r="G53" s="46">
        <v>3112</v>
      </c>
      <c r="H53" s="47">
        <v>41767</v>
      </c>
      <c r="I53" s="46" t="s">
        <v>178</v>
      </c>
      <c r="J53" s="46" t="s">
        <v>63</v>
      </c>
      <c r="K53" s="48">
        <v>100</v>
      </c>
      <c r="L53" s="48"/>
      <c r="M53" s="141">
        <f>IF(ISBLANK(CkReg13_14[[#This Row],[Withdrawal]]),M52+CkReg13_14[[#This Row],[Deposit]],M52-CkReg13_14[[#This Row],[Withdrawal]])</f>
        <v>9983.7200000000012</v>
      </c>
      <c r="N53" s="49" t="s">
        <v>101</v>
      </c>
      <c r="O53" s="46"/>
      <c r="P53" s="50">
        <v>41787</v>
      </c>
      <c r="Q53" s="51">
        <f>+Q51-Q52</f>
        <v>9537.1</v>
      </c>
    </row>
    <row r="54" spans="2:17" s="45" customFormat="1" ht="13.95" customHeight="1" x14ac:dyDescent="0.3">
      <c r="G54" s="46">
        <v>3113</v>
      </c>
      <c r="H54" s="47">
        <v>41777</v>
      </c>
      <c r="I54" s="46" t="s">
        <v>186</v>
      </c>
      <c r="J54" s="46" t="s">
        <v>44</v>
      </c>
      <c r="K54" s="48">
        <v>122.04</v>
      </c>
      <c r="L54" s="48"/>
      <c r="M54" s="141">
        <f>IF(ISBLANK(CkReg13_14[[#This Row],[Withdrawal]]),M53+CkReg13_14[[#This Row],[Deposit]],M53-CkReg13_14[[#This Row],[Withdrawal]])</f>
        <v>9861.68</v>
      </c>
      <c r="N54" s="49" t="s">
        <v>101</v>
      </c>
      <c r="O54" s="46"/>
      <c r="P54" s="50">
        <v>41782</v>
      </c>
      <c r="Q54" s="51"/>
    </row>
    <row r="55" spans="2:17" s="45" customFormat="1" ht="13.95" customHeight="1" x14ac:dyDescent="0.3">
      <c r="C55" s="189">
        <f>SUM(C38:C52)</f>
        <v>8102.46</v>
      </c>
      <c r="G55" s="46"/>
      <c r="H55" s="47">
        <v>41789</v>
      </c>
      <c r="I55" s="46" t="s">
        <v>90</v>
      </c>
      <c r="J55" s="46" t="s">
        <v>91</v>
      </c>
      <c r="K55" s="48"/>
      <c r="L55" s="48">
        <v>0.42</v>
      </c>
      <c r="M55" s="141">
        <f>IF(ISBLANK(CkReg13_14[[#This Row],[Withdrawal]]),M54+CkReg13_14[[#This Row],[Deposit]],M54-CkReg13_14[[#This Row],[Withdrawal]])</f>
        <v>9862.1</v>
      </c>
      <c r="N55" s="49" t="s">
        <v>101</v>
      </c>
      <c r="O55" s="46"/>
      <c r="P55" s="50">
        <v>41789</v>
      </c>
      <c r="Q55" s="51"/>
    </row>
    <row r="56" spans="2:17" s="45" customFormat="1" ht="13.95" customHeight="1" x14ac:dyDescent="0.3">
      <c r="G56" s="46">
        <v>3114</v>
      </c>
      <c r="H56" s="47">
        <v>41797</v>
      </c>
      <c r="I56" s="46" t="s">
        <v>122</v>
      </c>
      <c r="J56" s="46" t="s">
        <v>70</v>
      </c>
      <c r="K56" s="48">
        <v>29.4</v>
      </c>
      <c r="L56" s="48"/>
      <c r="M56" s="141">
        <f>IF(ISBLANK(CkReg13_14[[#This Row],[Withdrawal]]),M55+CkReg13_14[[#This Row],[Deposit]],M55-CkReg13_14[[#This Row],[Withdrawal]])</f>
        <v>9832.7000000000007</v>
      </c>
      <c r="N56" s="49" t="s">
        <v>101</v>
      </c>
      <c r="O56" s="46"/>
      <c r="P56" s="50">
        <v>41803</v>
      </c>
      <c r="Q56" s="51"/>
    </row>
    <row r="57" spans="2:17" s="45" customFormat="1" ht="13.95" customHeight="1" x14ac:dyDescent="0.3">
      <c r="G57" s="46">
        <v>3115</v>
      </c>
      <c r="H57" s="47">
        <v>41797</v>
      </c>
      <c r="I57" s="46" t="s">
        <v>182</v>
      </c>
      <c r="J57" s="46" t="s">
        <v>34</v>
      </c>
      <c r="K57" s="48">
        <v>125</v>
      </c>
      <c r="L57" s="48"/>
      <c r="M57" s="141">
        <f>IF(ISBLANK(CkReg13_14[[#This Row],[Withdrawal]]),M56+CkReg13_14[[#This Row],[Deposit]],M56-CkReg13_14[[#This Row],[Withdrawal]])</f>
        <v>9707.7000000000007</v>
      </c>
      <c r="N57" s="49" t="s">
        <v>101</v>
      </c>
      <c r="O57" s="46"/>
      <c r="P57" s="50">
        <v>41807</v>
      </c>
      <c r="Q57" s="51">
        <v>9712.19</v>
      </c>
    </row>
    <row r="58" spans="2:17" s="45" customFormat="1" ht="13.95" customHeight="1" x14ac:dyDescent="0.3">
      <c r="G58" s="46">
        <v>3116</v>
      </c>
      <c r="H58" s="47">
        <v>41797</v>
      </c>
      <c r="I58" s="46" t="s">
        <v>93</v>
      </c>
      <c r="J58" s="46" t="s">
        <v>36</v>
      </c>
      <c r="K58" s="48">
        <v>19</v>
      </c>
      <c r="L58" s="48"/>
      <c r="M58" s="141">
        <f>IF(ISBLANK(CkReg13_14[[#This Row],[Withdrawal]]),M57+CkReg13_14[[#This Row],[Deposit]],M57-CkReg13_14[[#This Row],[Withdrawal]])</f>
        <v>9688.7000000000007</v>
      </c>
      <c r="N58" s="49" t="s">
        <v>101</v>
      </c>
      <c r="O58" s="46"/>
      <c r="P58" s="50">
        <v>41802</v>
      </c>
      <c r="Q58" s="51">
        <v>190</v>
      </c>
    </row>
    <row r="59" spans="2:17" s="45" customFormat="1" ht="13.95" customHeight="1" x14ac:dyDescent="0.3">
      <c r="G59" s="46">
        <v>3116</v>
      </c>
      <c r="H59" s="47">
        <v>41797</v>
      </c>
      <c r="I59" s="46" t="s">
        <v>93</v>
      </c>
      <c r="J59" s="46" t="s">
        <v>39</v>
      </c>
      <c r="K59" s="48">
        <v>57</v>
      </c>
      <c r="L59" s="48"/>
      <c r="M59" s="141">
        <f>IF(ISBLANK(CkReg13_14[[#This Row],[Withdrawal]]),M58+CkReg13_14[[#This Row],[Deposit]],M58-CkReg13_14[[#This Row],[Withdrawal]])</f>
        <v>9631.7000000000007</v>
      </c>
      <c r="N59" s="49" t="s">
        <v>101</v>
      </c>
      <c r="O59" s="46"/>
      <c r="P59" s="50">
        <v>41802</v>
      </c>
      <c r="Q59" s="51">
        <f>+Q57+Q58</f>
        <v>9902.19</v>
      </c>
    </row>
    <row r="60" spans="2:17" s="45" customFormat="1" ht="13.95" customHeight="1" x14ac:dyDescent="0.3">
      <c r="G60" s="46">
        <v>3117</v>
      </c>
      <c r="H60" s="47">
        <v>41797</v>
      </c>
      <c r="I60" s="46" t="s">
        <v>92</v>
      </c>
      <c r="J60" s="46" t="s">
        <v>43</v>
      </c>
      <c r="K60" s="48">
        <v>50</v>
      </c>
      <c r="L60" s="48"/>
      <c r="M60" s="141">
        <f>IF(ISBLANK(CkReg13_14[[#This Row],[Withdrawal]]),M59+CkReg13_14[[#This Row],[Deposit]],M59-CkReg13_14[[#This Row],[Withdrawal]])</f>
        <v>9581.7000000000007</v>
      </c>
      <c r="N60" s="49" t="s">
        <v>101</v>
      </c>
      <c r="O60" s="46"/>
      <c r="P60" s="50">
        <v>41807</v>
      </c>
      <c r="Q60" s="51">
        <f>250+75+130+32.57+250</f>
        <v>737.56999999999994</v>
      </c>
    </row>
    <row r="61" spans="2:17" s="45" customFormat="1" ht="13.95" customHeight="1" x14ac:dyDescent="0.3">
      <c r="G61" s="46">
        <v>3118</v>
      </c>
      <c r="H61" s="47">
        <v>41797</v>
      </c>
      <c r="I61" s="46" t="s">
        <v>156</v>
      </c>
      <c r="J61" s="46" t="s">
        <v>70</v>
      </c>
      <c r="K61" s="48">
        <v>130</v>
      </c>
      <c r="L61" s="48"/>
      <c r="M61" s="141">
        <f>IF(ISBLANK(CkReg13_14[[#This Row],[Withdrawal]]),M60+CkReg13_14[[#This Row],[Deposit]],M60-CkReg13_14[[#This Row],[Withdrawal]])</f>
        <v>9451.7000000000007</v>
      </c>
      <c r="N61" s="49" t="s">
        <v>101</v>
      </c>
      <c r="O61" s="46"/>
      <c r="P61" s="50">
        <v>41827</v>
      </c>
      <c r="Q61" s="51">
        <f>+Q59-Q60</f>
        <v>9164.6200000000008</v>
      </c>
    </row>
    <row r="62" spans="2:17" s="45" customFormat="1" ht="13.95" customHeight="1" x14ac:dyDescent="0.3">
      <c r="G62" s="147">
        <v>3119</v>
      </c>
      <c r="H62" s="149">
        <v>41797</v>
      </c>
      <c r="I62" s="147" t="s">
        <v>190</v>
      </c>
      <c r="J62" s="147" t="s">
        <v>57</v>
      </c>
      <c r="K62" s="150">
        <v>11.9</v>
      </c>
      <c r="L62" s="150"/>
      <c r="M62" s="141">
        <f>IF(ISBLANK(CkReg13_14[[#This Row],[Withdrawal]]),M61+CkReg13_14[[#This Row],[Deposit]],M61-CkReg13_14[[#This Row],[Withdrawal]])</f>
        <v>9439.8000000000011</v>
      </c>
      <c r="N62" s="151" t="s">
        <v>101</v>
      </c>
      <c r="O62" s="147"/>
      <c r="P62" s="50">
        <v>41806</v>
      </c>
      <c r="Q62" s="51"/>
    </row>
    <row r="63" spans="2:17" s="45" customFormat="1" ht="13.95" customHeight="1" x14ac:dyDescent="0.3">
      <c r="G63" s="147">
        <v>3119</v>
      </c>
      <c r="H63" s="149">
        <v>41797</v>
      </c>
      <c r="I63" s="147" t="s">
        <v>191</v>
      </c>
      <c r="J63" s="147" t="s">
        <v>34</v>
      </c>
      <c r="K63" s="150">
        <v>56.97</v>
      </c>
      <c r="L63" s="150"/>
      <c r="M63" s="141">
        <f>IF(ISBLANK(CkReg13_14[[#This Row],[Withdrawal]]),M62+CkReg13_14[[#This Row],[Deposit]],M62-CkReg13_14[[#This Row],[Withdrawal]])</f>
        <v>9382.8300000000017</v>
      </c>
      <c r="N63" s="151" t="s">
        <v>101</v>
      </c>
      <c r="O63" s="147"/>
      <c r="P63" s="50">
        <v>41806</v>
      </c>
      <c r="Q63" s="51">
        <v>9256.11</v>
      </c>
    </row>
    <row r="64" spans="2:17" s="45" customFormat="1" ht="13.95" customHeight="1" x14ac:dyDescent="0.3">
      <c r="G64" s="46">
        <v>3119</v>
      </c>
      <c r="H64" s="47">
        <v>41797</v>
      </c>
      <c r="I64" s="46" t="s">
        <v>189</v>
      </c>
      <c r="J64" s="46" t="s">
        <v>52</v>
      </c>
      <c r="K64" s="48">
        <v>7</v>
      </c>
      <c r="L64" s="48"/>
      <c r="M64" s="141">
        <f>IF(ISBLANK(CkReg13_14[[#This Row],[Withdrawal]]),M63+CkReg13_14[[#This Row],[Deposit]],M63-CkReg13_14[[#This Row],[Withdrawal]])</f>
        <v>9375.8300000000017</v>
      </c>
      <c r="N64" s="49" t="s">
        <v>101</v>
      </c>
      <c r="O64" s="46"/>
      <c r="P64" s="50">
        <v>41806</v>
      </c>
      <c r="Q64" s="51">
        <f>75+250+151.9</f>
        <v>476.9</v>
      </c>
    </row>
    <row r="65" spans="7:17" s="45" customFormat="1" ht="13.95" customHeight="1" x14ac:dyDescent="0.3">
      <c r="G65" s="46">
        <v>3120</v>
      </c>
      <c r="H65" s="47">
        <v>41797</v>
      </c>
      <c r="I65" s="46" t="s">
        <v>181</v>
      </c>
      <c r="J65" s="46" t="s">
        <v>34</v>
      </c>
      <c r="K65" s="48">
        <v>32.57</v>
      </c>
      <c r="L65" s="48"/>
      <c r="M65" s="141">
        <f>IF(ISBLANK(CkReg13_14[[#This Row],[Withdrawal]]),M64+CkReg13_14[[#This Row],[Deposit]],M64-CkReg13_14[[#This Row],[Withdrawal]])</f>
        <v>9343.260000000002</v>
      </c>
      <c r="N65" s="49" t="s">
        <v>101</v>
      </c>
      <c r="O65" s="46"/>
      <c r="P65" s="50">
        <v>41827</v>
      </c>
      <c r="Q65" s="51">
        <f>+Q63-Q64</f>
        <v>8779.2100000000009</v>
      </c>
    </row>
    <row r="66" spans="7:17" s="45" customFormat="1" ht="13.95" customHeight="1" x14ac:dyDescent="0.3">
      <c r="G66" s="46">
        <v>3121</v>
      </c>
      <c r="H66" s="47">
        <v>41797</v>
      </c>
      <c r="I66" s="46" t="s">
        <v>180</v>
      </c>
      <c r="J66" s="46" t="s">
        <v>34</v>
      </c>
      <c r="K66" s="48">
        <v>250</v>
      </c>
      <c r="L66" s="48"/>
      <c r="M66" s="141">
        <f>IF(ISBLANK(CkReg13_14[[#This Row],[Withdrawal]]),M65+CkReg13_14[[#This Row],[Deposit]],M65-CkReg13_14[[#This Row],[Withdrawal]])</f>
        <v>9093.260000000002</v>
      </c>
      <c r="N66" s="49" t="s">
        <v>101</v>
      </c>
      <c r="O66" s="46"/>
      <c r="P66" s="50">
        <v>41821</v>
      </c>
      <c r="Q66" s="51"/>
    </row>
    <row r="67" spans="7:17" s="45" customFormat="1" ht="13.95" customHeight="1" x14ac:dyDescent="0.3">
      <c r="G67" s="46">
        <v>3122</v>
      </c>
      <c r="H67" s="47">
        <v>41797</v>
      </c>
      <c r="I67" s="46" t="s">
        <v>183</v>
      </c>
      <c r="J67" s="46" t="s">
        <v>34</v>
      </c>
      <c r="K67" s="48">
        <v>95</v>
      </c>
      <c r="L67" s="48"/>
      <c r="M67" s="141">
        <f>IF(ISBLANK(CkReg13_14[[#This Row],[Withdrawal]]),M66+CkReg13_14[[#This Row],[Deposit]],M66-CkReg13_14[[#This Row],[Withdrawal]])</f>
        <v>8998.260000000002</v>
      </c>
      <c r="N67" s="49" t="s">
        <v>101</v>
      </c>
      <c r="O67" s="46"/>
      <c r="P67" s="50">
        <v>41807</v>
      </c>
      <c r="Q67" s="51"/>
    </row>
    <row r="68" spans="7:17" s="45" customFormat="1" ht="13.95" customHeight="1" x14ac:dyDescent="0.3">
      <c r="G68" s="147"/>
      <c r="H68" s="149">
        <v>41797</v>
      </c>
      <c r="I68" s="147" t="s">
        <v>217</v>
      </c>
      <c r="J68" s="147" t="s">
        <v>33</v>
      </c>
      <c r="K68" s="150"/>
      <c r="L68" s="150">
        <v>263.14</v>
      </c>
      <c r="M68" s="141">
        <f>IF(ISBLANK(CkReg13_14[[#This Row],[Withdrawal]]),M67+CkReg13_14[[#This Row],[Deposit]],M67-CkReg13_14[[#This Row],[Withdrawal]])</f>
        <v>9261.4000000000015</v>
      </c>
      <c r="N68" s="151" t="s">
        <v>101</v>
      </c>
      <c r="O68" s="46" t="s">
        <v>331</v>
      </c>
      <c r="P68" s="50">
        <v>41803</v>
      </c>
      <c r="Q68" s="51"/>
    </row>
    <row r="69" spans="7:17" s="45" customFormat="1" ht="13.95" customHeight="1" x14ac:dyDescent="0.3">
      <c r="G69" s="46"/>
      <c r="H69" s="47">
        <v>41799</v>
      </c>
      <c r="I69" s="46" t="s">
        <v>188</v>
      </c>
      <c r="J69" s="46" t="s">
        <v>57</v>
      </c>
      <c r="K69" s="48"/>
      <c r="L69" s="48">
        <v>37.82</v>
      </c>
      <c r="M69" s="141">
        <f>IF(ISBLANK(CkReg13_14[[#This Row],[Withdrawal]]),M68+CkReg13_14[[#This Row],[Deposit]],M68-CkReg13_14[[#This Row],[Withdrawal]])</f>
        <v>9299.2200000000012</v>
      </c>
      <c r="N69" s="49"/>
      <c r="O69" s="46"/>
      <c r="P69" s="50">
        <v>41799</v>
      </c>
      <c r="Q69" s="51"/>
    </row>
    <row r="70" spans="7:17" s="45" customFormat="1" ht="13.95" customHeight="1" x14ac:dyDescent="0.3">
      <c r="G70" s="159"/>
      <c r="H70" s="162">
        <v>41820</v>
      </c>
      <c r="I70" s="159" t="s">
        <v>90</v>
      </c>
      <c r="J70" s="159" t="s">
        <v>91</v>
      </c>
      <c r="K70" s="157"/>
      <c r="L70" s="157">
        <v>0.4</v>
      </c>
      <c r="M70" s="141">
        <f>IF(ISBLANK(CkReg13_14[[#This Row],[Withdrawal]]),M69+CkReg13_14[[#This Row],[Deposit]],M69-CkReg13_14[[#This Row],[Withdrawal]])</f>
        <v>9299.6200000000008</v>
      </c>
      <c r="N70" s="158"/>
      <c r="O70" s="159"/>
      <c r="P70" s="160">
        <v>41820</v>
      </c>
      <c r="Q70" s="161" t="s">
        <v>343</v>
      </c>
    </row>
    <row r="71" spans="7:17" s="45" customFormat="1" ht="13.95" customHeight="1" x14ac:dyDescent="0.3">
      <c r="G71" s="46">
        <v>3123</v>
      </c>
      <c r="H71" s="47">
        <v>41830</v>
      </c>
      <c r="I71" s="46" t="s">
        <v>184</v>
      </c>
      <c r="J71" s="46" t="s">
        <v>67</v>
      </c>
      <c r="K71" s="48">
        <v>500</v>
      </c>
      <c r="L71" s="48"/>
      <c r="M71" s="141">
        <f>IF(ISBLANK(CkReg13_14[[#This Row],[Withdrawal]]),M70+CkReg13_14[[#This Row],[Deposit]],M70-CkReg13_14[[#This Row],[Withdrawal]])</f>
        <v>8799.6200000000008</v>
      </c>
      <c r="N71" s="49" t="s">
        <v>101</v>
      </c>
      <c r="O71" s="46"/>
      <c r="P71" s="50">
        <v>41831</v>
      </c>
      <c r="Q71" s="51"/>
    </row>
    <row r="72" spans="7:17" s="45" customFormat="1" ht="13.95" customHeight="1" x14ac:dyDescent="0.3">
      <c r="G72" s="46">
        <v>3124</v>
      </c>
      <c r="H72" s="47">
        <v>41830</v>
      </c>
      <c r="I72" s="46" t="s">
        <v>185</v>
      </c>
      <c r="J72" s="46" t="s">
        <v>68</v>
      </c>
      <c r="K72" s="48">
        <v>151.9</v>
      </c>
      <c r="L72" s="48"/>
      <c r="M72" s="141">
        <f>IF(ISBLANK(CkReg13_14[[#This Row],[Withdrawal]]),M71+CkReg13_14[[#This Row],[Deposit]],M71-CkReg13_14[[#This Row],[Withdrawal]])</f>
        <v>8647.7200000000012</v>
      </c>
      <c r="N72" s="49" t="s">
        <v>101</v>
      </c>
      <c r="O72" s="46"/>
      <c r="P72" s="50">
        <v>41858</v>
      </c>
      <c r="Q72" s="51"/>
    </row>
    <row r="73" spans="7:17" s="45" customFormat="1" ht="13.95" customHeight="1" x14ac:dyDescent="0.3">
      <c r="G73" s="46">
        <v>3125</v>
      </c>
      <c r="H73" s="47">
        <v>41837</v>
      </c>
      <c r="I73" s="46" t="s">
        <v>193</v>
      </c>
      <c r="J73" s="46" t="s">
        <v>44</v>
      </c>
      <c r="K73" s="48">
        <v>136.88999999999999</v>
      </c>
      <c r="L73" s="48"/>
      <c r="M73" s="141">
        <f>IF(ISBLANK(CkReg13_14[[#This Row],[Withdrawal]]),M72+CkReg13_14[[#This Row],[Deposit]],M72-CkReg13_14[[#This Row],[Withdrawal]])</f>
        <v>8510.8300000000017</v>
      </c>
      <c r="N73" s="49" t="s">
        <v>101</v>
      </c>
      <c r="O73" s="46"/>
      <c r="P73" s="50">
        <v>41844</v>
      </c>
      <c r="Q73" s="51"/>
    </row>
    <row r="74" spans="7:17" s="45" customFormat="1" ht="13.95" customHeight="1" x14ac:dyDescent="0.3">
      <c r="G74" s="159"/>
      <c r="H74" s="162">
        <v>41850</v>
      </c>
      <c r="I74" s="159" t="s">
        <v>11</v>
      </c>
      <c r="J74" s="159" t="s">
        <v>44</v>
      </c>
      <c r="K74" s="157"/>
      <c r="L74" s="157">
        <v>593</v>
      </c>
      <c r="M74" s="141">
        <f>IF(ISBLANK(CkReg13_14[[#This Row],[Withdrawal]]),M73+CkReg13_14[[#This Row],[Deposit]],M73-CkReg13_14[[#This Row],[Withdrawal]])</f>
        <v>9103.8300000000017</v>
      </c>
      <c r="N74" s="158"/>
      <c r="O74" s="159"/>
      <c r="P74" s="160">
        <v>41821</v>
      </c>
      <c r="Q74" s="161" t="s">
        <v>345</v>
      </c>
    </row>
    <row r="75" spans="7:17" s="45" customFormat="1" ht="13.95" customHeight="1" x14ac:dyDescent="0.3">
      <c r="G75" s="159"/>
      <c r="H75" s="162">
        <v>41850</v>
      </c>
      <c r="I75" s="159" t="s">
        <v>90</v>
      </c>
      <c r="J75" s="159" t="s">
        <v>91</v>
      </c>
      <c r="K75" s="157"/>
      <c r="L75" s="157">
        <v>0.38</v>
      </c>
      <c r="M75" s="141">
        <f>IF(ISBLANK(CkReg13_14[[#This Row],[Withdrawal]]),M74+CkReg13_14[[#This Row],[Deposit]],M74-CkReg13_14[[#This Row],[Withdrawal]])</f>
        <v>9104.2100000000009</v>
      </c>
      <c r="N75" s="158"/>
      <c r="O75" s="159"/>
      <c r="P75" s="160">
        <v>41850</v>
      </c>
      <c r="Q75" s="161" t="s">
        <v>343</v>
      </c>
    </row>
    <row r="76" spans="7:17" s="45" customFormat="1" ht="13.95" customHeight="1" x14ac:dyDescent="0.3">
      <c r="G76" s="46">
        <v>3126</v>
      </c>
      <c r="H76" s="47">
        <v>41853</v>
      </c>
      <c r="I76" s="46" t="s">
        <v>193</v>
      </c>
      <c r="J76" s="46" t="s">
        <v>44</v>
      </c>
      <c r="K76" s="48">
        <v>27</v>
      </c>
      <c r="L76" s="48"/>
      <c r="M76" s="141">
        <f>IF(ISBLANK(CkReg13_14[[#This Row],[Withdrawal]]),M75+CkReg13_14[[#This Row],[Deposit]],M75-CkReg13_14[[#This Row],[Withdrawal]])</f>
        <v>9077.2100000000009</v>
      </c>
      <c r="N76" s="49" t="s">
        <v>101</v>
      </c>
      <c r="O76" s="46"/>
      <c r="P76" s="50">
        <v>41863</v>
      </c>
      <c r="Q76" s="51"/>
    </row>
    <row r="77" spans="7:17" s="45" customFormat="1" ht="13.8" x14ac:dyDescent="0.3">
      <c r="G77" s="46">
        <v>3127</v>
      </c>
      <c r="H77" s="47">
        <v>41853</v>
      </c>
      <c r="I77" s="46" t="s">
        <v>194</v>
      </c>
      <c r="J77" s="46" t="s">
        <v>64</v>
      </c>
      <c r="K77" s="48">
        <v>50</v>
      </c>
      <c r="L77" s="48"/>
      <c r="M77" s="141">
        <f>IF(ISBLANK(CkReg13_14[[#This Row],[Withdrawal]]),M76+CkReg13_14[[#This Row],[Deposit]],M76-CkReg13_14[[#This Row],[Withdrawal]])</f>
        <v>9027.2100000000009</v>
      </c>
      <c r="N77" s="49" t="s">
        <v>101</v>
      </c>
      <c r="O77" s="46"/>
      <c r="P77" s="50">
        <v>41855</v>
      </c>
      <c r="Q77" s="51"/>
    </row>
    <row r="78" spans="7:17" s="45" customFormat="1" ht="13.8" x14ac:dyDescent="0.3">
      <c r="G78" s="46">
        <v>3128</v>
      </c>
      <c r="H78" s="47">
        <v>41853</v>
      </c>
      <c r="I78" s="46" t="s">
        <v>84</v>
      </c>
      <c r="J78" s="46" t="s">
        <v>51</v>
      </c>
      <c r="K78" s="48">
        <v>80</v>
      </c>
      <c r="L78" s="48"/>
      <c r="M78" s="141">
        <f>IF(ISBLANK(CkReg13_14[[#This Row],[Withdrawal]]),M77+CkReg13_14[[#This Row],[Deposit]],M77-CkReg13_14[[#This Row],[Withdrawal]])</f>
        <v>8947.2100000000009</v>
      </c>
      <c r="N78" s="49" t="s">
        <v>101</v>
      </c>
      <c r="O78" s="46"/>
      <c r="P78" s="50">
        <v>41865</v>
      </c>
      <c r="Q78" s="51"/>
    </row>
    <row r="79" spans="7:17" s="45" customFormat="1" ht="13.95" customHeight="1" x14ac:dyDescent="0.3">
      <c r="G79" s="46">
        <v>3129</v>
      </c>
      <c r="H79" s="47">
        <v>41853</v>
      </c>
      <c r="I79" s="46" t="s">
        <v>131</v>
      </c>
      <c r="J79" s="46" t="s">
        <v>62</v>
      </c>
      <c r="K79" s="48">
        <v>50</v>
      </c>
      <c r="L79" s="48"/>
      <c r="M79" s="141">
        <f>IF(ISBLANK(CkReg13_14[[#This Row],[Withdrawal]]),M78+CkReg13_14[[#This Row],[Deposit]],M78-CkReg13_14[[#This Row],[Withdrawal]])</f>
        <v>8897.2100000000009</v>
      </c>
      <c r="N79" s="49" t="s">
        <v>101</v>
      </c>
      <c r="O79" s="46"/>
      <c r="P79" s="50">
        <v>41894</v>
      </c>
      <c r="Q79" s="51">
        <v>9483.3799999999992</v>
      </c>
    </row>
    <row r="80" spans="7:17" s="45" customFormat="1" ht="13.95" customHeight="1" x14ac:dyDescent="0.3">
      <c r="G80" s="46">
        <v>3130</v>
      </c>
      <c r="H80" s="47">
        <v>41853</v>
      </c>
      <c r="I80" s="46" t="s">
        <v>92</v>
      </c>
      <c r="J80" s="46" t="s">
        <v>43</v>
      </c>
      <c r="K80" s="48">
        <v>50</v>
      </c>
      <c r="L80" s="48"/>
      <c r="M80" s="141">
        <f>IF(ISBLANK(CkReg13_14[[#This Row],[Withdrawal]]),M79+CkReg13_14[[#This Row],[Deposit]],M79-CkReg13_14[[#This Row],[Withdrawal]])</f>
        <v>8847.2100000000009</v>
      </c>
      <c r="N80" s="49" t="s">
        <v>101</v>
      </c>
      <c r="O80" s="46"/>
      <c r="P80" s="50">
        <v>41869</v>
      </c>
      <c r="Q80" s="51">
        <f>141.2+122.04</f>
        <v>263.24</v>
      </c>
    </row>
    <row r="81" spans="7:17" s="45" customFormat="1" ht="13.95" customHeight="1" x14ac:dyDescent="0.3">
      <c r="G81" s="46">
        <v>3131</v>
      </c>
      <c r="H81" s="47">
        <v>41853</v>
      </c>
      <c r="I81" s="46" t="s">
        <v>195</v>
      </c>
      <c r="J81" s="46" t="s">
        <v>34</v>
      </c>
      <c r="K81" s="48">
        <v>128.65</v>
      </c>
      <c r="L81" s="48"/>
      <c r="M81" s="141">
        <f>IF(ISBLANK(CkReg13_14[[#This Row],[Withdrawal]]),M80+CkReg13_14[[#This Row],[Deposit]],M80-CkReg13_14[[#This Row],[Withdrawal]])</f>
        <v>8718.5600000000013</v>
      </c>
      <c r="N81" s="49" t="s">
        <v>101</v>
      </c>
      <c r="O81" s="46" t="s">
        <v>332</v>
      </c>
      <c r="P81" s="50">
        <v>41878</v>
      </c>
      <c r="Q81" s="51">
        <f>+Q79+Q80</f>
        <v>9746.619999999999</v>
      </c>
    </row>
    <row r="82" spans="7:17" s="45" customFormat="1" ht="13.95" customHeight="1" x14ac:dyDescent="0.3">
      <c r="G82" s="46">
        <v>3132</v>
      </c>
      <c r="H82" s="47">
        <v>41853</v>
      </c>
      <c r="I82" s="46" t="s">
        <v>196</v>
      </c>
      <c r="J82" s="46" t="s">
        <v>34</v>
      </c>
      <c r="K82" s="48">
        <v>36.57</v>
      </c>
      <c r="L82" s="48"/>
      <c r="M82" s="141">
        <f>IF(ISBLANK(CkReg13_14[[#This Row],[Withdrawal]]),M81+CkReg13_14[[#This Row],[Deposit]],M81-CkReg13_14[[#This Row],[Withdrawal]])</f>
        <v>8681.9900000000016</v>
      </c>
      <c r="N82" s="49" t="s">
        <v>101</v>
      </c>
      <c r="O82" s="46" t="s">
        <v>336</v>
      </c>
      <c r="P82" s="50">
        <v>41878</v>
      </c>
      <c r="Q82" s="51">
        <f>250+75+150+200+70+25+50</f>
        <v>820</v>
      </c>
    </row>
    <row r="83" spans="7:17" s="45" customFormat="1" ht="13.95" customHeight="1" x14ac:dyDescent="0.3">
      <c r="G83" s="46">
        <v>3133</v>
      </c>
      <c r="H83" s="47">
        <v>41853</v>
      </c>
      <c r="I83" s="46" t="s">
        <v>197</v>
      </c>
      <c r="J83" s="46"/>
      <c r="K83" s="48"/>
      <c r="L83" s="48"/>
      <c r="M83" s="141">
        <f>IF(ISBLANK(CkReg13_14[[#This Row],[Withdrawal]]),M82+CkReg13_14[[#This Row],[Deposit]],M82-CkReg13_14[[#This Row],[Withdrawal]])</f>
        <v>8681.9900000000016</v>
      </c>
      <c r="N83" s="49" t="s">
        <v>101</v>
      </c>
      <c r="O83" s="46"/>
      <c r="P83" s="50" t="s">
        <v>349</v>
      </c>
      <c r="Q83" s="51">
        <f>+Q81-Q82</f>
        <v>8926.619999999999</v>
      </c>
    </row>
    <row r="84" spans="7:17" s="45" customFormat="1" ht="13.95" customHeight="1" x14ac:dyDescent="0.3">
      <c r="G84" s="46">
        <v>3134</v>
      </c>
      <c r="H84" s="47">
        <v>41853</v>
      </c>
      <c r="I84" s="46" t="s">
        <v>198</v>
      </c>
      <c r="J84" s="46" t="s">
        <v>57</v>
      </c>
      <c r="K84" s="48">
        <v>150</v>
      </c>
      <c r="L84" s="48"/>
      <c r="M84" s="141">
        <f>IF(ISBLANK(CkReg13_14[[#This Row],[Withdrawal]]),M83+CkReg13_14[[#This Row],[Deposit]],M83-CkReg13_14[[#This Row],[Withdrawal]])</f>
        <v>8531.9900000000016</v>
      </c>
      <c r="N84" s="49" t="s">
        <v>101</v>
      </c>
      <c r="O84" s="46"/>
      <c r="P84" s="50">
        <v>41893</v>
      </c>
      <c r="Q84" s="51">
        <f>+Q83-M93</f>
        <v>-226.37000000000262</v>
      </c>
    </row>
    <row r="85" spans="7:17" s="45" customFormat="1" ht="13.95" customHeight="1" x14ac:dyDescent="0.3">
      <c r="G85" s="46">
        <v>3135</v>
      </c>
      <c r="H85" s="47">
        <v>41853</v>
      </c>
      <c r="I85" s="46" t="s">
        <v>128</v>
      </c>
      <c r="J85" s="46" t="s">
        <v>73</v>
      </c>
      <c r="K85" s="48">
        <v>200</v>
      </c>
      <c r="L85" s="48"/>
      <c r="M85" s="141">
        <f>IF(ISBLANK(CkReg13_14[[#This Row],[Withdrawal]]),M84+CkReg13_14[[#This Row],[Deposit]],M84-CkReg13_14[[#This Row],[Withdrawal]])</f>
        <v>8331.9900000000016</v>
      </c>
      <c r="N85" s="49" t="s">
        <v>101</v>
      </c>
      <c r="O85" s="46"/>
      <c r="P85" s="50">
        <v>41893</v>
      </c>
      <c r="Q85" s="51"/>
    </row>
    <row r="86" spans="7:17" s="45" customFormat="1" ht="13.95" customHeight="1" x14ac:dyDescent="0.3">
      <c r="G86" s="147"/>
      <c r="H86" s="149">
        <v>41853</v>
      </c>
      <c r="I86" s="147" t="s">
        <v>218</v>
      </c>
      <c r="J86" s="147" t="s">
        <v>61</v>
      </c>
      <c r="K86" s="150"/>
      <c r="L86" s="150">
        <v>376</v>
      </c>
      <c r="M86" s="141">
        <f>IF(ISBLANK(CkReg13_14[[#This Row],[Withdrawal]]),M85+CkReg13_14[[#This Row],[Deposit]],M85-CkReg13_14[[#This Row],[Withdrawal]])</f>
        <v>8707.9900000000016</v>
      </c>
      <c r="N86" s="151" t="s">
        <v>101</v>
      </c>
      <c r="O86" s="147"/>
      <c r="P86" s="50">
        <v>41856</v>
      </c>
      <c r="Q86" s="51"/>
    </row>
    <row r="87" spans="7:17" s="45" customFormat="1" ht="13.95" customHeight="1" x14ac:dyDescent="0.3">
      <c r="G87" s="159"/>
      <c r="H87" s="162">
        <v>41858</v>
      </c>
      <c r="I87" s="159" t="s">
        <v>11</v>
      </c>
      <c r="J87" s="159" t="s">
        <v>32</v>
      </c>
      <c r="K87" s="157"/>
      <c r="L87" s="157">
        <v>141.19999999999999</v>
      </c>
      <c r="M87" s="141">
        <f>IF(ISBLANK(CkReg13_14[[#This Row],[Withdrawal]]),M86+CkReg13_14[[#This Row],[Deposit]],M86-CkReg13_14[[#This Row],[Withdrawal]])</f>
        <v>8849.1900000000023</v>
      </c>
      <c r="N87" s="158"/>
      <c r="O87" s="159" t="s">
        <v>340</v>
      </c>
      <c r="P87" s="160" t="s">
        <v>348</v>
      </c>
      <c r="Q87" s="161" t="s">
        <v>343</v>
      </c>
    </row>
    <row r="88" spans="7:17" s="45" customFormat="1" ht="13.95" customHeight="1" x14ac:dyDescent="0.3">
      <c r="G88" s="159"/>
      <c r="H88" s="162">
        <v>41858</v>
      </c>
      <c r="I88" s="159" t="s">
        <v>187</v>
      </c>
      <c r="J88" s="159" t="s">
        <v>32</v>
      </c>
      <c r="K88" s="157"/>
      <c r="L88" s="157">
        <v>122.04</v>
      </c>
      <c r="M88" s="141">
        <f>IF(ISBLANK(CkReg13_14[[#This Row],[Withdrawal]]),M87+CkReg13_14[[#This Row],[Deposit]],M87-CkReg13_14[[#This Row],[Withdrawal]])</f>
        <v>8971.2300000000032</v>
      </c>
      <c r="N88" s="158"/>
      <c r="O88" s="159"/>
      <c r="P88" s="160" t="s">
        <v>348</v>
      </c>
      <c r="Q88" s="161" t="s">
        <v>343</v>
      </c>
    </row>
    <row r="89" spans="7:17" s="45" customFormat="1" ht="13.95" customHeight="1" x14ac:dyDescent="0.3">
      <c r="G89" s="159"/>
      <c r="H89" s="162">
        <v>41858</v>
      </c>
      <c r="I89" s="159" t="s">
        <v>11</v>
      </c>
      <c r="J89" s="159" t="s">
        <v>32</v>
      </c>
      <c r="K89" s="157">
        <v>141.19999999999999</v>
      </c>
      <c r="L89" s="157"/>
      <c r="M89" s="141">
        <f>IF(ISBLANK(CkReg13_14[[#This Row],[Withdrawal]]),M88+CkReg13_14[[#This Row],[Deposit]],M88-CkReg13_14[[#This Row],[Withdrawal]])</f>
        <v>8830.0300000000025</v>
      </c>
      <c r="N89" s="158"/>
      <c r="O89" s="159"/>
      <c r="P89" s="160" t="s">
        <v>348</v>
      </c>
      <c r="Q89" s="167" t="s">
        <v>343</v>
      </c>
    </row>
    <row r="90" spans="7:17" s="45" customFormat="1" ht="13.95" customHeight="1" x14ac:dyDescent="0.3">
      <c r="G90" s="159"/>
      <c r="H90" s="162">
        <v>41858</v>
      </c>
      <c r="I90" s="159" t="s">
        <v>187</v>
      </c>
      <c r="J90" s="159" t="s">
        <v>32</v>
      </c>
      <c r="K90" s="157">
        <v>122.04</v>
      </c>
      <c r="L90" s="157"/>
      <c r="M90" s="141">
        <f>IF(ISBLANK(CkReg13_14[[#This Row],[Withdrawal]]),M89+CkReg13_14[[#This Row],[Deposit]],M89-CkReg13_14[[#This Row],[Withdrawal]])</f>
        <v>8707.9900000000016</v>
      </c>
      <c r="N90" s="158"/>
      <c r="O90" s="159"/>
      <c r="P90" s="160" t="s">
        <v>348</v>
      </c>
      <c r="Q90" s="167" t="s">
        <v>343</v>
      </c>
    </row>
    <row r="91" spans="7:17" s="45" customFormat="1" ht="13.95" customHeight="1" x14ac:dyDescent="0.3">
      <c r="G91" s="46">
        <v>3136</v>
      </c>
      <c r="H91" s="47">
        <v>41863</v>
      </c>
      <c r="I91" s="46" t="s">
        <v>156</v>
      </c>
      <c r="J91" s="46" t="s">
        <v>39</v>
      </c>
      <c r="K91" s="48">
        <v>70</v>
      </c>
      <c r="L91" s="48"/>
      <c r="M91" s="141">
        <f>IF(ISBLANK(CkReg13_14[[#This Row],[Withdrawal]]),M90+CkReg13_14[[#This Row],[Deposit]],M90-CkReg13_14[[#This Row],[Withdrawal]])</f>
        <v>8637.9900000000016</v>
      </c>
      <c r="N91" s="49" t="s">
        <v>101</v>
      </c>
      <c r="O91" s="46"/>
      <c r="P91" s="50">
        <v>41885</v>
      </c>
      <c r="Q91" s="51"/>
    </row>
    <row r="92" spans="7:17" s="45" customFormat="1" ht="13.8" x14ac:dyDescent="0.3">
      <c r="G92" s="46">
        <v>3136</v>
      </c>
      <c r="H92" s="47">
        <v>41863</v>
      </c>
      <c r="I92" s="46" t="s">
        <v>156</v>
      </c>
      <c r="J92" s="46" t="s">
        <v>36</v>
      </c>
      <c r="K92" s="48">
        <v>25</v>
      </c>
      <c r="L92" s="48"/>
      <c r="M92" s="141">
        <f>IF(ISBLANK(CkReg13_14[[#This Row],[Withdrawal]]),M91+CkReg13_14[[#This Row],[Deposit]],M91-CkReg13_14[[#This Row],[Withdrawal]])</f>
        <v>8612.9900000000016</v>
      </c>
      <c r="N92" s="49" t="s">
        <v>101</v>
      </c>
      <c r="O92" s="46"/>
      <c r="P92" s="50">
        <v>41885</v>
      </c>
      <c r="Q92" s="51"/>
    </row>
    <row r="93" spans="7:17" s="45" customFormat="1" ht="13.8" x14ac:dyDescent="0.3">
      <c r="G93" s="147"/>
      <c r="H93" s="149">
        <v>41866</v>
      </c>
      <c r="I93" s="147" t="s">
        <v>218</v>
      </c>
      <c r="J93" s="147" t="s">
        <v>61</v>
      </c>
      <c r="K93" s="150"/>
      <c r="L93" s="150">
        <v>540</v>
      </c>
      <c r="M93" s="141">
        <f>IF(ISBLANK(CkReg13_14[[#This Row],[Withdrawal]]),M92+CkReg13_14[[#This Row],[Deposit]],M92-CkReg13_14[[#This Row],[Withdrawal]])</f>
        <v>9152.9900000000016</v>
      </c>
      <c r="N93" s="49" t="s">
        <v>101</v>
      </c>
      <c r="O93" s="147"/>
      <c r="P93" s="50">
        <v>41869</v>
      </c>
      <c r="Q93" s="51"/>
    </row>
    <row r="94" spans="7:17" s="45" customFormat="1" ht="13.95" customHeight="1" x14ac:dyDescent="0.3">
      <c r="G94" s="159"/>
      <c r="H94" s="162">
        <v>41871</v>
      </c>
      <c r="I94" s="159" t="s">
        <v>346</v>
      </c>
      <c r="J94" s="159" t="s">
        <v>44</v>
      </c>
      <c r="K94" s="157">
        <v>165</v>
      </c>
      <c r="L94" s="157"/>
      <c r="M94" s="141">
        <f>IF(ISBLANK(CkReg13_14[[#This Row],[Withdrawal]]),M93+CkReg13_14[[#This Row],[Deposit]],M93-CkReg13_14[[#This Row],[Withdrawal]])</f>
        <v>8987.9900000000016</v>
      </c>
      <c r="N94" s="158"/>
      <c r="O94" s="159"/>
      <c r="P94" s="160">
        <v>41871</v>
      </c>
      <c r="Q94" s="161" t="s">
        <v>343</v>
      </c>
    </row>
    <row r="95" spans="7:17" s="45" customFormat="1" ht="13.95" customHeight="1" x14ac:dyDescent="0.3">
      <c r="G95" s="159"/>
      <c r="H95" s="162">
        <v>41880</v>
      </c>
      <c r="I95" s="159" t="s">
        <v>90</v>
      </c>
      <c r="J95" s="159" t="s">
        <v>91</v>
      </c>
      <c r="K95" s="157"/>
      <c r="L95" s="157">
        <v>0.39</v>
      </c>
      <c r="M95" s="141">
        <f>IF(ISBLANK(CkReg13_14[[#This Row],[Withdrawal]]),M94+CkReg13_14[[#This Row],[Deposit]],M94-CkReg13_14[[#This Row],[Withdrawal]])</f>
        <v>8988.380000000001</v>
      </c>
      <c r="N95" s="158"/>
      <c r="O95" s="159"/>
      <c r="P95" s="160">
        <v>41880</v>
      </c>
      <c r="Q95" s="161" t="s">
        <v>343</v>
      </c>
    </row>
    <row r="96" spans="7:17" s="45" customFormat="1" ht="13.95" customHeight="1" x14ac:dyDescent="0.3">
      <c r="G96" s="159"/>
      <c r="H96" s="162">
        <v>41883</v>
      </c>
      <c r="I96" s="159" t="s">
        <v>354</v>
      </c>
      <c r="J96" s="159" t="s">
        <v>61</v>
      </c>
      <c r="K96" s="157"/>
      <c r="L96" s="157">
        <v>172.5</v>
      </c>
      <c r="M96" s="141">
        <f>IF(ISBLANK(CkReg13_14[[#This Row],[Withdrawal]]),M95+CkReg13_14[[#This Row],[Deposit]],M95-CkReg13_14[[#This Row],[Withdrawal]])</f>
        <v>9160.880000000001</v>
      </c>
      <c r="N96" s="158" t="s">
        <v>101</v>
      </c>
      <c r="O96" s="159"/>
      <c r="P96" s="160">
        <v>41947</v>
      </c>
      <c r="Q96" s="161" t="s">
        <v>343</v>
      </c>
    </row>
    <row r="97" spans="7:17" s="45" customFormat="1" ht="13.95" customHeight="1" x14ac:dyDescent="0.3">
      <c r="G97" s="46"/>
      <c r="H97" s="47">
        <v>41883</v>
      </c>
      <c r="I97" s="46" t="s">
        <v>209</v>
      </c>
      <c r="J97" s="46" t="s">
        <v>61</v>
      </c>
      <c r="K97" s="48"/>
      <c r="L97" s="48">
        <v>4717.68</v>
      </c>
      <c r="M97" s="141">
        <f>IF(ISBLANK(CkReg13_14[[#This Row],[Withdrawal]]),M96+CkReg13_14[[#This Row],[Deposit]],M96-CkReg13_14[[#This Row],[Withdrawal]])</f>
        <v>13878.560000000001</v>
      </c>
      <c r="N97" s="49" t="s">
        <v>101</v>
      </c>
      <c r="O97" s="46"/>
      <c r="P97" s="50">
        <v>41947</v>
      </c>
      <c r="Q97" s="51" t="e">
        <f>+Q90-Q91</f>
        <v>#VALUE!</v>
      </c>
    </row>
    <row r="98" spans="7:17" s="45" customFormat="1" ht="13.95" customHeight="1" x14ac:dyDescent="0.3">
      <c r="G98" s="46">
        <v>3139</v>
      </c>
      <c r="H98" s="47">
        <v>41887</v>
      </c>
      <c r="I98" s="46" t="s">
        <v>94</v>
      </c>
      <c r="J98" s="46" t="s">
        <v>67</v>
      </c>
      <c r="K98" s="48">
        <v>2993.19</v>
      </c>
      <c r="L98" s="48"/>
      <c r="M98" s="141">
        <f>IF(ISBLANK(CkReg13_14[[#This Row],[Withdrawal]]),M97+CkReg13_14[[#This Row],[Deposit]],M97-CkReg13_14[[#This Row],[Withdrawal]])</f>
        <v>10885.37</v>
      </c>
      <c r="N98" s="49" t="s">
        <v>101</v>
      </c>
      <c r="O98" s="46"/>
      <c r="P98" s="50">
        <v>41891</v>
      </c>
      <c r="Q98" s="51"/>
    </row>
    <row r="99" spans="7:17" s="45" customFormat="1" ht="13.95" customHeight="1" x14ac:dyDescent="0.3">
      <c r="G99" s="46">
        <v>3141</v>
      </c>
      <c r="H99" s="47">
        <v>41888</v>
      </c>
      <c r="I99" s="46" t="s">
        <v>202</v>
      </c>
      <c r="J99" s="46" t="s">
        <v>74</v>
      </c>
      <c r="K99" s="48">
        <v>82.31</v>
      </c>
      <c r="L99" s="48"/>
      <c r="M99" s="141">
        <f>IF(ISBLANK(CkReg13_14[[#This Row],[Withdrawal]]),M98+CkReg13_14[[#This Row],[Deposit]],M98-CkReg13_14[[#This Row],[Withdrawal]])</f>
        <v>10803.060000000001</v>
      </c>
      <c r="N99" s="49" t="s">
        <v>101</v>
      </c>
      <c r="O99" s="46"/>
      <c r="P99" s="50">
        <v>41890</v>
      </c>
      <c r="Q99" s="51"/>
    </row>
    <row r="100" spans="7:17" s="45" customFormat="1" ht="13.95" customHeight="1" x14ac:dyDescent="0.3">
      <c r="G100" s="46">
        <v>3140</v>
      </c>
      <c r="H100" s="47">
        <v>41891</v>
      </c>
      <c r="I100" s="46" t="s">
        <v>201</v>
      </c>
      <c r="J100" s="46" t="s">
        <v>44</v>
      </c>
      <c r="K100" s="48">
        <v>649.29</v>
      </c>
      <c r="L100" s="48"/>
      <c r="M100" s="141">
        <f>IF(ISBLANK(CkReg13_14[[#This Row],[Withdrawal]]),M99+CkReg13_14[[#This Row],[Deposit]],M99-CkReg13_14[[#This Row],[Withdrawal]])</f>
        <v>10153.77</v>
      </c>
      <c r="N100" s="49" t="s">
        <v>101</v>
      </c>
      <c r="O100" s="46"/>
      <c r="P100" s="50">
        <v>41891</v>
      </c>
      <c r="Q100" s="51"/>
    </row>
    <row r="101" spans="7:17" s="45" customFormat="1" ht="13.95" customHeight="1" x14ac:dyDescent="0.3">
      <c r="G101" s="46">
        <v>3137</v>
      </c>
      <c r="H101" s="47">
        <v>41892</v>
      </c>
      <c r="I101" s="46" t="s">
        <v>134</v>
      </c>
      <c r="J101" s="46" t="s">
        <v>66</v>
      </c>
      <c r="K101" s="48">
        <v>993.03</v>
      </c>
      <c r="L101" s="48"/>
      <c r="M101" s="141">
        <f>IF(ISBLANK(CkReg13_14[[#This Row],[Withdrawal]]),M100+CkReg13_14[[#This Row],[Deposit]],M100-CkReg13_14[[#This Row],[Withdrawal]])</f>
        <v>9160.74</v>
      </c>
      <c r="N101" s="49" t="s">
        <v>101</v>
      </c>
      <c r="O101" s="46"/>
      <c r="P101" s="50">
        <v>41894</v>
      </c>
      <c r="Q101" s="51"/>
    </row>
    <row r="102" spans="7:17" s="45" customFormat="1" ht="13.95" customHeight="1" x14ac:dyDescent="0.3">
      <c r="G102" s="46">
        <v>3138</v>
      </c>
      <c r="H102" s="47">
        <v>41892</v>
      </c>
      <c r="I102" s="46" t="s">
        <v>199</v>
      </c>
      <c r="J102" s="46" t="s">
        <v>70</v>
      </c>
      <c r="K102" s="48">
        <v>200</v>
      </c>
      <c r="L102" s="48"/>
      <c r="M102" s="141">
        <f>IF(ISBLANK(CkReg13_14[[#This Row],[Withdrawal]]),M101+CkReg13_14[[#This Row],[Deposit]],M101-CkReg13_14[[#This Row],[Withdrawal]])</f>
        <v>8960.74</v>
      </c>
      <c r="N102" s="49" t="s">
        <v>101</v>
      </c>
      <c r="O102" s="46" t="s">
        <v>339</v>
      </c>
      <c r="P102" s="50">
        <v>41893</v>
      </c>
      <c r="Q102" s="51"/>
    </row>
    <row r="103" spans="7:17" s="45" customFormat="1" ht="13.95" customHeight="1" x14ac:dyDescent="0.3">
      <c r="G103" s="46">
        <v>3138</v>
      </c>
      <c r="H103" s="47">
        <v>41892</v>
      </c>
      <c r="I103" s="46" t="s">
        <v>200</v>
      </c>
      <c r="J103" s="46" t="s">
        <v>67</v>
      </c>
      <c r="K103" s="48">
        <v>200</v>
      </c>
      <c r="L103" s="48"/>
      <c r="M103" s="141">
        <f>IF(ISBLANK(CkReg13_14[[#This Row],[Withdrawal]]),M102+CkReg13_14[[#This Row],[Deposit]],M102-CkReg13_14[[#This Row],[Withdrawal]])</f>
        <v>8760.74</v>
      </c>
      <c r="N103" s="49" t="s">
        <v>101</v>
      </c>
      <c r="O103" s="46"/>
      <c r="P103" s="50">
        <v>41893</v>
      </c>
      <c r="Q103" s="51"/>
    </row>
    <row r="104" spans="7:17" s="45" customFormat="1" ht="13.95" customHeight="1" x14ac:dyDescent="0.3">
      <c r="G104" s="46">
        <v>3142</v>
      </c>
      <c r="H104" s="47">
        <v>41893</v>
      </c>
      <c r="I104" s="46" t="s">
        <v>203</v>
      </c>
      <c r="J104" s="46" t="s">
        <v>66</v>
      </c>
      <c r="K104" s="48">
        <v>91.61</v>
      </c>
      <c r="L104" s="48"/>
      <c r="M104" s="141">
        <f>IF(ISBLANK(CkReg13_14[[#This Row],[Withdrawal]]),M103+CkReg13_14[[#This Row],[Deposit]],M103-CkReg13_14[[#This Row],[Withdrawal]])</f>
        <v>8669.1299999999992</v>
      </c>
      <c r="N104" s="49" t="s">
        <v>101</v>
      </c>
      <c r="O104" s="46"/>
      <c r="P104" s="50">
        <v>41894</v>
      </c>
      <c r="Q104" s="51"/>
    </row>
    <row r="105" spans="7:17" s="45" customFormat="1" ht="13.95" customHeight="1" x14ac:dyDescent="0.3">
      <c r="G105" s="46">
        <v>3143</v>
      </c>
      <c r="H105" s="47">
        <v>41894</v>
      </c>
      <c r="I105" s="46" t="s">
        <v>203</v>
      </c>
      <c r="J105" s="46" t="s">
        <v>66</v>
      </c>
      <c r="K105" s="48">
        <v>43.49</v>
      </c>
      <c r="L105" s="48"/>
      <c r="M105" s="141">
        <f>IF(ISBLANK(CkReg13_14[[#This Row],[Withdrawal]]),M104+CkReg13_14[[#This Row],[Deposit]],M104-CkReg13_14[[#This Row],[Withdrawal]])</f>
        <v>8625.64</v>
      </c>
      <c r="N105" s="49" t="s">
        <v>101</v>
      </c>
      <c r="O105" s="46"/>
      <c r="P105" s="50">
        <v>41897</v>
      </c>
      <c r="Q105" s="51"/>
    </row>
    <row r="106" spans="7:17" s="45" customFormat="1" ht="13.95" customHeight="1" x14ac:dyDescent="0.3">
      <c r="G106" s="46">
        <v>3144</v>
      </c>
      <c r="H106" s="47">
        <v>41894</v>
      </c>
      <c r="I106" s="46" t="s">
        <v>203</v>
      </c>
      <c r="J106" s="46" t="s">
        <v>66</v>
      </c>
      <c r="K106" s="48">
        <v>21.09</v>
      </c>
      <c r="L106" s="48"/>
      <c r="M106" s="141">
        <f>IF(ISBLANK(CkReg13_14[[#This Row],[Withdrawal]]),M105+CkReg13_14[[#This Row],[Deposit]],M105-CkReg13_14[[#This Row],[Withdrawal]])</f>
        <v>8604.5499999999993</v>
      </c>
      <c r="N106" s="49" t="s">
        <v>101</v>
      </c>
      <c r="O106" s="46"/>
      <c r="P106" s="50">
        <v>41897</v>
      </c>
      <c r="Q106" s="51"/>
    </row>
    <row r="107" spans="7:17" s="45" customFormat="1" ht="13.95" customHeight="1" x14ac:dyDescent="0.3">
      <c r="G107" s="46">
        <v>3145</v>
      </c>
      <c r="H107" s="47">
        <v>41896</v>
      </c>
      <c r="I107" s="46" t="s">
        <v>204</v>
      </c>
      <c r="J107" s="46" t="s">
        <v>68</v>
      </c>
      <c r="K107" s="48">
        <v>400</v>
      </c>
      <c r="L107" s="48"/>
      <c r="M107" s="141">
        <f>IF(ISBLANK(CkReg13_14[[#This Row],[Withdrawal]]),M106+CkReg13_14[[#This Row],[Deposit]],M106-CkReg13_14[[#This Row],[Withdrawal]])</f>
        <v>8204.5499999999993</v>
      </c>
      <c r="N107" s="49" t="s">
        <v>101</v>
      </c>
      <c r="O107" s="46"/>
      <c r="P107" s="50">
        <v>41899</v>
      </c>
      <c r="Q107" s="51"/>
    </row>
    <row r="108" spans="7:17" s="45" customFormat="1" ht="13.95" customHeight="1" x14ac:dyDescent="0.3">
      <c r="G108" s="159">
        <v>3147</v>
      </c>
      <c r="H108" s="162">
        <v>41898</v>
      </c>
      <c r="I108" s="159" t="s">
        <v>205</v>
      </c>
      <c r="J108" s="159" t="s">
        <v>68</v>
      </c>
      <c r="K108" s="157">
        <v>-5</v>
      </c>
      <c r="L108" s="157"/>
      <c r="M108" s="141">
        <f>IF(ISBLANK(CkReg13_14[[#This Row],[Withdrawal]]),M107+CkReg13_14[[#This Row],[Deposit]],M107-CkReg13_14[[#This Row],[Withdrawal]])</f>
        <v>8209.5499999999993</v>
      </c>
      <c r="N108" s="158"/>
      <c r="O108" s="159"/>
      <c r="P108" s="160">
        <v>41923</v>
      </c>
      <c r="Q108" s="161" t="s">
        <v>343</v>
      </c>
    </row>
    <row r="109" spans="7:17" s="45" customFormat="1" ht="13.95" customHeight="1" x14ac:dyDescent="0.3">
      <c r="G109" s="46">
        <v>3146</v>
      </c>
      <c r="H109" s="47">
        <v>41898</v>
      </c>
      <c r="I109" s="46" t="s">
        <v>139</v>
      </c>
      <c r="J109" s="46" t="s">
        <v>66</v>
      </c>
      <c r="K109" s="48">
        <v>2373.7199999999998</v>
      </c>
      <c r="L109" s="48"/>
      <c r="M109" s="141">
        <f>IF(ISBLANK(CkReg13_14[[#This Row],[Withdrawal]]),M108+CkReg13_14[[#This Row],[Deposit]],M108-CkReg13_14[[#This Row],[Withdrawal]])</f>
        <v>5835.83</v>
      </c>
      <c r="N109" s="49" t="s">
        <v>101</v>
      </c>
      <c r="O109" s="46"/>
      <c r="P109" s="50">
        <v>41901</v>
      </c>
      <c r="Q109" s="51"/>
    </row>
    <row r="110" spans="7:17" s="45" customFormat="1" ht="13.95" customHeight="1" x14ac:dyDescent="0.3">
      <c r="G110" s="46">
        <v>3147</v>
      </c>
      <c r="H110" s="47">
        <v>41898</v>
      </c>
      <c r="I110" s="46" t="s">
        <v>205</v>
      </c>
      <c r="J110" s="46" t="s">
        <v>68</v>
      </c>
      <c r="K110" s="48">
        <v>45</v>
      </c>
      <c r="L110" s="48"/>
      <c r="M110" s="141">
        <f>IF(ISBLANK(CkReg13_14[[#This Row],[Withdrawal]]),M109+CkReg13_14[[#This Row],[Deposit]],M109-CkReg13_14[[#This Row],[Withdrawal]])</f>
        <v>5790.83</v>
      </c>
      <c r="N110" s="49" t="s">
        <v>101</v>
      </c>
      <c r="O110" s="46" t="s">
        <v>338</v>
      </c>
      <c r="P110" s="50">
        <v>41922</v>
      </c>
      <c r="Q110" s="51"/>
    </row>
    <row r="111" spans="7:17" s="45" customFormat="1" ht="13.95" customHeight="1" x14ac:dyDescent="0.3">
      <c r="G111" s="46">
        <v>3147</v>
      </c>
      <c r="H111" s="47">
        <v>41898</v>
      </c>
      <c r="I111" s="46" t="s">
        <v>206</v>
      </c>
      <c r="J111" s="46" t="s">
        <v>57</v>
      </c>
      <c r="K111" s="48">
        <v>151.1</v>
      </c>
      <c r="L111" s="48"/>
      <c r="M111" s="141">
        <f>IF(ISBLANK(CkReg13_14[[#This Row],[Withdrawal]]),M110+CkReg13_14[[#This Row],[Deposit]],M110-CkReg13_14[[#This Row],[Withdrawal]])</f>
        <v>5639.73</v>
      </c>
      <c r="N111" s="49" t="s">
        <v>101</v>
      </c>
      <c r="O111" s="46"/>
      <c r="P111" s="50">
        <v>41922</v>
      </c>
      <c r="Q111" s="51"/>
    </row>
    <row r="112" spans="7:17" s="45" customFormat="1" ht="13.95" customHeight="1" x14ac:dyDescent="0.3">
      <c r="G112" s="46">
        <v>3148</v>
      </c>
      <c r="H112" s="47">
        <v>41898</v>
      </c>
      <c r="I112" s="46" t="s">
        <v>207</v>
      </c>
      <c r="J112" s="46"/>
      <c r="K112" s="48"/>
      <c r="L112" s="48"/>
      <c r="M112" s="141">
        <f>IF(ISBLANK(CkReg13_14[[#This Row],[Withdrawal]]),M111+CkReg13_14[[#This Row],[Deposit]],M111-CkReg13_14[[#This Row],[Withdrawal]])</f>
        <v>5639.73</v>
      </c>
      <c r="N112" s="49" t="s">
        <v>101</v>
      </c>
      <c r="O112" s="46"/>
      <c r="P112" s="50" t="s">
        <v>349</v>
      </c>
      <c r="Q112" s="51"/>
    </row>
    <row r="113" spans="7:18" s="45" customFormat="1" ht="13.95" customHeight="1" x14ac:dyDescent="0.3">
      <c r="G113" s="46">
        <v>3149</v>
      </c>
      <c r="H113" s="47">
        <v>41898</v>
      </c>
      <c r="I113" s="46" t="s">
        <v>127</v>
      </c>
      <c r="J113" s="46" t="s">
        <v>66</v>
      </c>
      <c r="K113" s="48">
        <v>13.37</v>
      </c>
      <c r="L113" s="48"/>
      <c r="M113" s="141">
        <f>IF(ISBLANK(CkReg13_14[[#This Row],[Withdrawal]]),M112+CkReg13_14[[#This Row],[Deposit]],M112-CkReg13_14[[#This Row],[Withdrawal]])</f>
        <v>5626.36</v>
      </c>
      <c r="N113" s="49" t="s">
        <v>101</v>
      </c>
      <c r="O113" s="46"/>
      <c r="P113" s="50">
        <v>41905</v>
      </c>
      <c r="Q113" s="51"/>
    </row>
    <row r="114" spans="7:18" s="45" customFormat="1" ht="13.95" customHeight="1" x14ac:dyDescent="0.3">
      <c r="G114" s="46">
        <v>3150</v>
      </c>
      <c r="H114" s="47">
        <v>41898</v>
      </c>
      <c r="I114" s="46" t="s">
        <v>208</v>
      </c>
      <c r="J114" s="46" t="s">
        <v>67</v>
      </c>
      <c r="K114" s="48">
        <v>6</v>
      </c>
      <c r="L114" s="48"/>
      <c r="M114" s="141">
        <f>IF(ISBLANK(CkReg13_14[[#This Row],[Withdrawal]]),M113+CkReg13_14[[#This Row],[Deposit]],M113-CkReg13_14[[#This Row],[Withdrawal]])</f>
        <v>5620.36</v>
      </c>
      <c r="N114" s="49" t="s">
        <v>101</v>
      </c>
      <c r="O114" s="46"/>
      <c r="P114" s="50">
        <v>41992</v>
      </c>
      <c r="Q114" s="51"/>
    </row>
    <row r="115" spans="7:18" s="45" customFormat="1" ht="13.95" customHeight="1" x14ac:dyDescent="0.3">
      <c r="G115" s="147"/>
      <c r="H115" s="149">
        <v>41898</v>
      </c>
      <c r="I115" s="147" t="s">
        <v>210</v>
      </c>
      <c r="J115" s="147" t="s">
        <v>61</v>
      </c>
      <c r="K115" s="150"/>
      <c r="L115" s="150">
        <v>5866</v>
      </c>
      <c r="M115" s="141">
        <f>IF(ISBLANK(CkReg13_14[[#This Row],[Withdrawal]]),M114+CkReg13_14[[#This Row],[Deposit]],M114-CkReg13_14[[#This Row],[Withdrawal]])</f>
        <v>11486.36</v>
      </c>
      <c r="N115" s="151"/>
      <c r="O115" s="46" t="s">
        <v>333</v>
      </c>
      <c r="P115" s="50">
        <v>41897</v>
      </c>
      <c r="Q115" s="51"/>
    </row>
    <row r="116" spans="7:18" s="45" customFormat="1" ht="13.95" customHeight="1" x14ac:dyDescent="0.3">
      <c r="G116" s="147"/>
      <c r="H116" s="149">
        <v>41898</v>
      </c>
      <c r="I116" s="147" t="s">
        <v>211</v>
      </c>
      <c r="J116" s="147" t="s">
        <v>61</v>
      </c>
      <c r="K116" s="150"/>
      <c r="L116" s="150">
        <v>1569</v>
      </c>
      <c r="M116" s="141">
        <f>IF(ISBLANK(CkReg13_14[[#This Row],[Withdrawal]]),M115+CkReg13_14[[#This Row],[Deposit]],M115-CkReg13_14[[#This Row],[Withdrawal]])</f>
        <v>13055.36</v>
      </c>
      <c r="N116" s="151"/>
      <c r="O116" s="147"/>
      <c r="P116" s="50">
        <v>41897</v>
      </c>
      <c r="Q116" s="51"/>
    </row>
    <row r="117" spans="7:18" s="45" customFormat="1" ht="13.95" customHeight="1" x14ac:dyDescent="0.3">
      <c r="G117" s="147"/>
      <c r="H117" s="149">
        <v>41898</v>
      </c>
      <c r="I117" s="147" t="s">
        <v>28</v>
      </c>
      <c r="J117" s="147" t="s">
        <v>60</v>
      </c>
      <c r="K117" s="150"/>
      <c r="L117" s="150">
        <v>5326.25</v>
      </c>
      <c r="M117" s="141">
        <f>IF(ISBLANK(CkReg13_14[[#This Row],[Withdrawal]]),M116+CkReg13_14[[#This Row],[Deposit]],M116-CkReg13_14[[#This Row],[Withdrawal]])</f>
        <v>18381.61</v>
      </c>
      <c r="N117" s="151"/>
      <c r="O117" s="147"/>
      <c r="P117" s="50">
        <v>41897</v>
      </c>
      <c r="Q117" s="51">
        <f>SUM(L115:L122)</f>
        <v>15541.35</v>
      </c>
    </row>
    <row r="118" spans="7:18" s="45" customFormat="1" ht="13.95" customHeight="1" x14ac:dyDescent="0.3">
      <c r="G118" s="147"/>
      <c r="H118" s="149">
        <v>41898</v>
      </c>
      <c r="I118" s="147" t="s">
        <v>6</v>
      </c>
      <c r="J118" s="147" t="s">
        <v>60</v>
      </c>
      <c r="K118" s="150"/>
      <c r="L118" s="150">
        <v>686</v>
      </c>
      <c r="M118" s="141">
        <f>IF(ISBLANK(CkReg13_14[[#This Row],[Withdrawal]]),M117+CkReg13_14[[#This Row],[Deposit]],M117-CkReg13_14[[#This Row],[Withdrawal]])</f>
        <v>19067.61</v>
      </c>
      <c r="N118" s="151"/>
      <c r="O118" s="147"/>
      <c r="P118" s="50">
        <v>41897</v>
      </c>
      <c r="Q118" s="51">
        <f>12907.35+2417.69-0.33</f>
        <v>15324.710000000001</v>
      </c>
    </row>
    <row r="119" spans="7:18" s="45" customFormat="1" ht="13.95" customHeight="1" x14ac:dyDescent="0.3">
      <c r="G119" s="147"/>
      <c r="H119" s="149">
        <v>41898</v>
      </c>
      <c r="I119" s="147" t="s">
        <v>212</v>
      </c>
      <c r="J119" s="147" t="s">
        <v>60</v>
      </c>
      <c r="K119" s="150"/>
      <c r="L119" s="150">
        <v>343</v>
      </c>
      <c r="M119" s="141">
        <f>IF(ISBLANK(CkReg13_14[[#This Row],[Withdrawal]]),M118+CkReg13_14[[#This Row],[Deposit]],M118-CkReg13_14[[#This Row],[Withdrawal]])</f>
        <v>19410.61</v>
      </c>
      <c r="N119" s="151"/>
      <c r="O119" s="147"/>
      <c r="P119" s="50">
        <v>41897</v>
      </c>
      <c r="Q119" s="51">
        <f>+Q117-Q118</f>
        <v>216.63999999999942</v>
      </c>
      <c r="R119" s="153" t="s">
        <v>142</v>
      </c>
    </row>
    <row r="120" spans="7:18" s="45" customFormat="1" ht="13.95" customHeight="1" x14ac:dyDescent="0.3">
      <c r="G120" s="147"/>
      <c r="H120" s="149">
        <v>41898</v>
      </c>
      <c r="I120" s="147" t="s">
        <v>213</v>
      </c>
      <c r="J120" s="147" t="s">
        <v>60</v>
      </c>
      <c r="K120" s="150"/>
      <c r="L120" s="150">
        <v>1161</v>
      </c>
      <c r="M120" s="141">
        <f>IF(ISBLANK(CkReg13_14[[#This Row],[Withdrawal]]),M119+CkReg13_14[[#This Row],[Deposit]],M119-CkReg13_14[[#This Row],[Withdrawal]])</f>
        <v>20571.61</v>
      </c>
      <c r="N120" s="151"/>
      <c r="O120" s="147"/>
      <c r="P120" s="50">
        <v>41897</v>
      </c>
      <c r="Q120" s="51"/>
    </row>
    <row r="121" spans="7:18" s="45" customFormat="1" ht="13.95" customHeight="1" x14ac:dyDescent="0.3">
      <c r="G121" s="147"/>
      <c r="H121" s="149">
        <v>41898</v>
      </c>
      <c r="I121" s="147" t="s">
        <v>214</v>
      </c>
      <c r="J121" s="147" t="s">
        <v>60</v>
      </c>
      <c r="K121" s="150"/>
      <c r="L121" s="150">
        <v>133.75</v>
      </c>
      <c r="M121" s="141">
        <f>IF(ISBLANK(CkReg13_14[[#This Row],[Withdrawal]]),M120+CkReg13_14[[#This Row],[Deposit]],M120-CkReg13_14[[#This Row],[Withdrawal]])</f>
        <v>20705.36</v>
      </c>
      <c r="N121" s="151"/>
      <c r="O121" s="147"/>
      <c r="P121" s="50">
        <v>41897</v>
      </c>
      <c r="Q121" s="51"/>
    </row>
    <row r="122" spans="7:18" s="45" customFormat="1" ht="13.95" customHeight="1" x14ac:dyDescent="0.3">
      <c r="G122" s="147"/>
      <c r="H122" s="149">
        <v>41898</v>
      </c>
      <c r="I122" s="147" t="s">
        <v>215</v>
      </c>
      <c r="J122" s="147" t="s">
        <v>60</v>
      </c>
      <c r="K122" s="150"/>
      <c r="L122" s="150">
        <v>456.35</v>
      </c>
      <c r="M122" s="141">
        <f>IF(ISBLANK(CkReg13_14[[#This Row],[Withdrawal]]),M121+CkReg13_14[[#This Row],[Deposit]],M121-CkReg13_14[[#This Row],[Withdrawal]])</f>
        <v>21161.71</v>
      </c>
      <c r="N122" s="151"/>
      <c r="O122" s="147"/>
      <c r="P122" s="50">
        <v>41897</v>
      </c>
      <c r="Q122" s="51"/>
    </row>
    <row r="123" spans="7:18" s="45" customFormat="1" ht="13.95" customHeight="1" x14ac:dyDescent="0.3">
      <c r="G123" s="159">
        <v>3151</v>
      </c>
      <c r="H123" s="162">
        <v>41901</v>
      </c>
      <c r="I123" s="163" t="s">
        <v>138</v>
      </c>
      <c r="J123" s="163" t="s">
        <v>69</v>
      </c>
      <c r="K123" s="157">
        <v>50</v>
      </c>
      <c r="L123" s="157"/>
      <c r="M123" s="141">
        <f>IF(ISBLANK(CkReg13_14[[#This Row],[Withdrawal]]),M122+CkReg13_14[[#This Row],[Deposit]],M122-CkReg13_14[[#This Row],[Withdrawal]])</f>
        <v>21111.71</v>
      </c>
      <c r="N123" s="158"/>
      <c r="O123" s="159"/>
      <c r="P123" s="160">
        <v>41912</v>
      </c>
      <c r="Q123" s="161" t="s">
        <v>343</v>
      </c>
    </row>
    <row r="124" spans="7:18" s="45" customFormat="1" ht="13.95" customHeight="1" x14ac:dyDescent="0.3">
      <c r="G124" s="147">
        <v>3151</v>
      </c>
      <c r="H124" s="149">
        <v>41901</v>
      </c>
      <c r="I124" s="147" t="s">
        <v>138</v>
      </c>
      <c r="J124" s="147" t="s">
        <v>69</v>
      </c>
      <c r="K124" s="150">
        <v>4310</v>
      </c>
      <c r="L124" s="150"/>
      <c r="M124" s="141">
        <f>IF(ISBLANK(CkReg13_14[[#This Row],[Withdrawal]]),M123+CkReg13_14[[#This Row],[Deposit]],M123-CkReg13_14[[#This Row],[Withdrawal]])</f>
        <v>16801.71</v>
      </c>
      <c r="N124" s="151" t="s">
        <v>101</v>
      </c>
      <c r="O124" s="147"/>
      <c r="P124" s="50">
        <v>41897</v>
      </c>
      <c r="Q124" s="51"/>
    </row>
    <row r="125" spans="7:18" s="45" customFormat="1" ht="13.95" customHeight="1" x14ac:dyDescent="0.3">
      <c r="G125" s="147">
        <v>3152</v>
      </c>
      <c r="H125" s="149">
        <v>41911</v>
      </c>
      <c r="I125" s="147" t="s">
        <v>216</v>
      </c>
      <c r="J125" s="147" t="s">
        <v>44</v>
      </c>
      <c r="K125" s="150">
        <v>17.25</v>
      </c>
      <c r="L125" s="150"/>
      <c r="M125" s="141">
        <f>IF(ISBLANK(CkReg13_14[[#This Row],[Withdrawal]]),M124+CkReg13_14[[#This Row],[Deposit]],M124-CkReg13_14[[#This Row],[Withdrawal]])</f>
        <v>16784.46</v>
      </c>
      <c r="N125" s="151" t="s">
        <v>101</v>
      </c>
      <c r="O125" s="147"/>
      <c r="P125" s="50">
        <v>41912</v>
      </c>
      <c r="Q125" s="51"/>
    </row>
    <row r="126" spans="7:18" s="45" customFormat="1" ht="13.95" customHeight="1" x14ac:dyDescent="0.3">
      <c r="G126" s="159"/>
      <c r="H126" s="162">
        <v>41912</v>
      </c>
      <c r="I126" s="159" t="s">
        <v>350</v>
      </c>
      <c r="J126" s="159" t="s">
        <v>44</v>
      </c>
      <c r="K126" s="157">
        <v>216.64</v>
      </c>
      <c r="L126" s="157"/>
      <c r="M126" s="141">
        <f>IF(ISBLANK(CkReg13_14[[#This Row],[Withdrawal]]),M125+CkReg13_14[[#This Row],[Deposit]],M125-CkReg13_14[[#This Row],[Withdrawal]])</f>
        <v>16567.82</v>
      </c>
      <c r="N126" s="158"/>
      <c r="O126" s="159"/>
      <c r="P126" s="160">
        <v>41912</v>
      </c>
      <c r="Q126" s="161" t="s">
        <v>343</v>
      </c>
    </row>
    <row r="127" spans="7:18" s="45" customFormat="1" ht="13.95" customHeight="1" x14ac:dyDescent="0.3">
      <c r="G127" s="159"/>
      <c r="H127" s="162">
        <v>41912</v>
      </c>
      <c r="I127" s="159" t="s">
        <v>347</v>
      </c>
      <c r="J127" s="159" t="s">
        <v>44</v>
      </c>
      <c r="K127" s="157">
        <v>8</v>
      </c>
      <c r="L127" s="157"/>
      <c r="M127" s="141">
        <f>IF(ISBLANK(CkReg13_14[[#This Row],[Withdrawal]]),M126+CkReg13_14[[#This Row],[Deposit]],M126-CkReg13_14[[#This Row],[Withdrawal]])</f>
        <v>16559.82</v>
      </c>
      <c r="N127" s="158"/>
      <c r="O127" s="159"/>
      <c r="P127" s="160">
        <v>41912</v>
      </c>
      <c r="Q127" s="161" t="s">
        <v>343</v>
      </c>
    </row>
    <row r="128" spans="7:18" s="45" customFormat="1" ht="13.95" customHeight="1" x14ac:dyDescent="0.3">
      <c r="G128" s="159"/>
      <c r="H128" s="162">
        <v>41912</v>
      </c>
      <c r="I128" s="159" t="s">
        <v>90</v>
      </c>
      <c r="J128" s="159" t="s">
        <v>91</v>
      </c>
      <c r="K128" s="157"/>
      <c r="L128" s="157">
        <v>0.33</v>
      </c>
      <c r="M128" s="141">
        <f>IF(ISBLANK(CkReg13_14[[#This Row],[Withdrawal]]),M127+CkReg13_14[[#This Row],[Deposit]],M127-CkReg13_14[[#This Row],[Withdrawal]])</f>
        <v>16560.150000000001</v>
      </c>
      <c r="N128" s="158"/>
      <c r="O128" s="159"/>
      <c r="P128" s="160">
        <v>41912</v>
      </c>
      <c r="Q128" s="161" t="s">
        <v>343</v>
      </c>
    </row>
    <row r="129" spans="7:18" s="45" customFormat="1" ht="13.95" customHeight="1" x14ac:dyDescent="0.3">
      <c r="G129" s="163">
        <v>3155</v>
      </c>
      <c r="H129" s="164">
        <v>41916</v>
      </c>
      <c r="I129" s="163" t="s">
        <v>156</v>
      </c>
      <c r="J129" s="163" t="s">
        <v>39</v>
      </c>
      <c r="K129" s="165">
        <v>41.65</v>
      </c>
      <c r="L129" s="165"/>
      <c r="M129" s="141">
        <f>IF(ISBLANK(CkReg13_14[[#This Row],[Withdrawal]]),M128+CkReg13_14[[#This Row],[Deposit]],M128-CkReg13_14[[#This Row],[Withdrawal]])</f>
        <v>16518.5</v>
      </c>
      <c r="N129" s="166"/>
      <c r="O129" s="163"/>
      <c r="P129" s="160" t="s">
        <v>348</v>
      </c>
      <c r="Q129" s="161" t="s">
        <v>343</v>
      </c>
    </row>
    <row r="130" spans="7:18" s="45" customFormat="1" ht="13.95" customHeight="1" x14ac:dyDescent="0.3">
      <c r="G130" s="159">
        <v>3155</v>
      </c>
      <c r="H130" s="162">
        <v>41916</v>
      </c>
      <c r="I130" s="159" t="s">
        <v>156</v>
      </c>
      <c r="J130" s="159" t="s">
        <v>39</v>
      </c>
      <c r="K130" s="157"/>
      <c r="L130" s="157">
        <v>41.65</v>
      </c>
      <c r="M130" s="141">
        <f>IF(ISBLANK(CkReg13_14[[#This Row],[Withdrawal]]),M129+CkReg13_14[[#This Row],[Deposit]],M129-CkReg13_14[[#This Row],[Withdrawal]])</f>
        <v>16560.150000000001</v>
      </c>
      <c r="N130" s="158"/>
      <c r="O130" s="159"/>
      <c r="P130" s="160" t="s">
        <v>348</v>
      </c>
      <c r="Q130" s="167" t="s">
        <v>343</v>
      </c>
    </row>
    <row r="131" spans="7:18" s="45" customFormat="1" ht="13.95" customHeight="1" x14ac:dyDescent="0.3">
      <c r="G131" s="147">
        <v>3153</v>
      </c>
      <c r="H131" s="149">
        <v>41916</v>
      </c>
      <c r="I131" s="147" t="s">
        <v>133</v>
      </c>
      <c r="J131" s="147" t="s">
        <v>68</v>
      </c>
      <c r="K131" s="150">
        <v>11.96</v>
      </c>
      <c r="L131" s="150"/>
      <c r="M131" s="141">
        <f>IF(ISBLANK(CkReg13_14[[#This Row],[Withdrawal]]),M130+CkReg13_14[[#This Row],[Deposit]],M130-CkReg13_14[[#This Row],[Withdrawal]])</f>
        <v>16548.190000000002</v>
      </c>
      <c r="N131" s="151"/>
      <c r="O131" s="147"/>
      <c r="P131" s="50">
        <v>41942</v>
      </c>
      <c r="Q131" s="51"/>
    </row>
    <row r="132" spans="7:18" s="45" customFormat="1" ht="13.95" customHeight="1" x14ac:dyDescent="0.3">
      <c r="G132" s="147">
        <v>3154</v>
      </c>
      <c r="H132" s="149">
        <v>41916</v>
      </c>
      <c r="I132" s="147" t="s">
        <v>224</v>
      </c>
      <c r="J132" s="147" t="s">
        <v>52</v>
      </c>
      <c r="K132" s="150">
        <v>93.38</v>
      </c>
      <c r="L132" s="150"/>
      <c r="M132" s="141">
        <f>IF(ISBLANK(CkReg13_14[[#This Row],[Withdrawal]]),M131+CkReg13_14[[#This Row],[Deposit]],M131-CkReg13_14[[#This Row],[Withdrawal]])</f>
        <v>16454.810000000001</v>
      </c>
      <c r="N132" s="151"/>
      <c r="O132" s="46" t="s">
        <v>335</v>
      </c>
      <c r="P132" s="50">
        <v>41929</v>
      </c>
      <c r="Q132" s="51"/>
    </row>
    <row r="133" spans="7:18" s="45" customFormat="1" ht="13.95" customHeight="1" x14ac:dyDescent="0.3">
      <c r="G133" s="147">
        <v>3157</v>
      </c>
      <c r="H133" s="149">
        <v>41916</v>
      </c>
      <c r="I133" s="147" t="s">
        <v>225</v>
      </c>
      <c r="J133" s="147" t="s">
        <v>43</v>
      </c>
      <c r="K133" s="150">
        <v>50</v>
      </c>
      <c r="L133" s="150"/>
      <c r="M133" s="141">
        <f>IF(ISBLANK(CkReg13_14[[#This Row],[Withdrawal]]),M132+CkReg13_14[[#This Row],[Deposit]],M132-CkReg13_14[[#This Row],[Withdrawal]])</f>
        <v>16404.810000000001</v>
      </c>
      <c r="N133" s="151"/>
      <c r="O133" s="46" t="s">
        <v>337</v>
      </c>
      <c r="P133" s="50">
        <v>41927</v>
      </c>
      <c r="Q133" s="51"/>
    </row>
    <row r="134" spans="7:18" s="45" customFormat="1" ht="13.95" customHeight="1" x14ac:dyDescent="0.3">
      <c r="G134" s="147">
        <v>3158</v>
      </c>
      <c r="H134" s="149">
        <v>41916</v>
      </c>
      <c r="I134" s="147" t="s">
        <v>226</v>
      </c>
      <c r="J134" s="147" t="s">
        <v>39</v>
      </c>
      <c r="K134" s="150">
        <v>76.64</v>
      </c>
      <c r="L134" s="150"/>
      <c r="M134" s="141">
        <f>IF(ISBLANK(CkReg13_14[[#This Row],[Withdrawal]]),M133+CkReg13_14[[#This Row],[Deposit]],M133-CkReg13_14[[#This Row],[Withdrawal]])</f>
        <v>16328.170000000002</v>
      </c>
      <c r="N134" s="151"/>
      <c r="O134" s="147"/>
      <c r="P134" s="50">
        <v>41919</v>
      </c>
      <c r="Q134" s="51"/>
    </row>
    <row r="135" spans="7:18" s="45" customFormat="1" ht="13.95" customHeight="1" x14ac:dyDescent="0.3">
      <c r="G135" s="147"/>
      <c r="H135" s="149">
        <v>41917</v>
      </c>
      <c r="I135" s="147" t="s">
        <v>219</v>
      </c>
      <c r="J135" s="147" t="s">
        <v>32</v>
      </c>
      <c r="K135" s="150"/>
      <c r="L135" s="150">
        <v>137</v>
      </c>
      <c r="M135" s="141">
        <f>IF(ISBLANK(CkReg13_14[[#This Row],[Withdrawal]]),M134+CkReg13_14[[#This Row],[Deposit]],M134-CkReg13_14[[#This Row],[Withdrawal]])</f>
        <v>16465.170000000002</v>
      </c>
      <c r="N135" s="49" t="s">
        <v>101</v>
      </c>
      <c r="O135" s="147"/>
      <c r="P135" s="50">
        <v>41918</v>
      </c>
      <c r="Q135" s="51"/>
    </row>
    <row r="136" spans="7:18" s="45" customFormat="1" ht="13.95" customHeight="1" x14ac:dyDescent="0.3">
      <c r="G136" s="147"/>
      <c r="H136" s="149">
        <v>41917</v>
      </c>
      <c r="I136" s="147" t="s">
        <v>220</v>
      </c>
      <c r="J136" s="147" t="s">
        <v>51</v>
      </c>
      <c r="K136" s="150"/>
      <c r="L136" s="150">
        <v>80</v>
      </c>
      <c r="M136" s="141">
        <f>IF(ISBLANK(CkReg13_14[[#This Row],[Withdrawal]]),M135+CkReg13_14[[#This Row],[Deposit]],M135-CkReg13_14[[#This Row],[Withdrawal]])</f>
        <v>16545.170000000002</v>
      </c>
      <c r="N136" s="49" t="s">
        <v>101</v>
      </c>
      <c r="O136" s="147"/>
      <c r="P136" s="50">
        <v>41918</v>
      </c>
      <c r="Q136" s="51"/>
    </row>
    <row r="137" spans="7:18" s="45" customFormat="1" ht="13.95" customHeight="1" x14ac:dyDescent="0.3">
      <c r="G137" s="147"/>
      <c r="H137" s="149">
        <v>41917</v>
      </c>
      <c r="I137" s="147" t="s">
        <v>221</v>
      </c>
      <c r="J137" s="147" t="s">
        <v>63</v>
      </c>
      <c r="K137" s="150"/>
      <c r="L137" s="150">
        <v>44.06</v>
      </c>
      <c r="M137" s="141">
        <f>IF(ISBLANK(CkReg13_14[[#This Row],[Withdrawal]]),M136+CkReg13_14[[#This Row],[Deposit]],M136-CkReg13_14[[#This Row],[Withdrawal]])</f>
        <v>16589.230000000003</v>
      </c>
      <c r="N137" s="49" t="s">
        <v>101</v>
      </c>
      <c r="O137" s="147"/>
      <c r="P137" s="50">
        <v>41918</v>
      </c>
      <c r="Q137" s="51"/>
    </row>
    <row r="138" spans="7:18" s="45" customFormat="1" ht="13.95" customHeight="1" x14ac:dyDescent="0.3">
      <c r="G138" s="147"/>
      <c r="H138" s="149">
        <v>41917</v>
      </c>
      <c r="I138" s="147" t="s">
        <v>222</v>
      </c>
      <c r="J138" s="147" t="s">
        <v>62</v>
      </c>
      <c r="K138" s="150"/>
      <c r="L138" s="150">
        <v>21.45</v>
      </c>
      <c r="M138" s="141">
        <f>IF(ISBLANK(CkReg13_14[[#This Row],[Withdrawal]]),M137+CkReg13_14[[#This Row],[Deposit]],M137-CkReg13_14[[#This Row],[Withdrawal]])</f>
        <v>16610.680000000004</v>
      </c>
      <c r="N138" s="49" t="s">
        <v>101</v>
      </c>
      <c r="O138" s="46" t="s">
        <v>334</v>
      </c>
      <c r="P138" s="50">
        <v>41918</v>
      </c>
      <c r="Q138" s="51"/>
    </row>
    <row r="139" spans="7:18" s="45" customFormat="1" ht="13.95" customHeight="1" x14ac:dyDescent="0.3">
      <c r="G139" s="147">
        <v>3159</v>
      </c>
      <c r="H139" s="149">
        <v>41925</v>
      </c>
      <c r="I139" s="147" t="s">
        <v>227</v>
      </c>
      <c r="J139" s="147" t="s">
        <v>61</v>
      </c>
      <c r="K139" s="150">
        <v>105</v>
      </c>
      <c r="L139" s="150"/>
      <c r="M139" s="141">
        <f>IF(ISBLANK(CkReg13_14[[#This Row],[Withdrawal]]),M138+CkReg13_14[[#This Row],[Deposit]],M138-CkReg13_14[[#This Row],[Withdrawal]])</f>
        <v>16505.680000000004</v>
      </c>
      <c r="N139" s="151"/>
      <c r="O139" s="147"/>
      <c r="P139" s="50">
        <v>41932</v>
      </c>
      <c r="Q139" s="51"/>
    </row>
    <row r="140" spans="7:18" s="45" customFormat="1" ht="13.8" x14ac:dyDescent="0.3">
      <c r="G140" s="147">
        <v>3160</v>
      </c>
      <c r="H140" s="149">
        <v>41927</v>
      </c>
      <c r="I140" s="147" t="s">
        <v>228</v>
      </c>
      <c r="J140" s="147" t="s">
        <v>44</v>
      </c>
      <c r="K140" s="150">
        <v>84.24</v>
      </c>
      <c r="L140" s="150"/>
      <c r="M140" s="141">
        <f>IF(ISBLANK(CkReg13_14[[#This Row],[Withdrawal]]),M139+CkReg13_14[[#This Row],[Deposit]],M139-CkReg13_14[[#This Row],[Withdrawal]])</f>
        <v>16421.440000000002</v>
      </c>
      <c r="N140" s="151"/>
      <c r="O140" s="147"/>
      <c r="P140" s="50">
        <v>41932</v>
      </c>
      <c r="Q140" s="51"/>
    </row>
    <row r="141" spans="7:18" s="45" customFormat="1" ht="13.95" customHeight="1" x14ac:dyDescent="0.3">
      <c r="G141" s="147">
        <v>3160</v>
      </c>
      <c r="H141" s="149">
        <v>41927</v>
      </c>
      <c r="I141" s="147" t="s">
        <v>229</v>
      </c>
      <c r="J141" s="147" t="s">
        <v>40</v>
      </c>
      <c r="K141" s="150">
        <v>488.88</v>
      </c>
      <c r="L141" s="150"/>
      <c r="M141" s="141">
        <f>IF(ISBLANK(CkReg13_14[[#This Row],[Withdrawal]]),M140+CkReg13_14[[#This Row],[Deposit]],M140-CkReg13_14[[#This Row],[Withdrawal]])</f>
        <v>15932.560000000003</v>
      </c>
      <c r="N141" s="151"/>
      <c r="O141" s="147"/>
      <c r="P141" s="50">
        <v>41932</v>
      </c>
      <c r="Q141" s="51"/>
      <c r="R141" s="45">
        <v>10584.11</v>
      </c>
    </row>
    <row r="142" spans="7:18" s="45" customFormat="1" ht="13.95" customHeight="1" x14ac:dyDescent="0.3">
      <c r="G142" s="147">
        <v>3161</v>
      </c>
      <c r="H142" s="149">
        <v>41938</v>
      </c>
      <c r="I142" s="147" t="s">
        <v>230</v>
      </c>
      <c r="J142" s="147" t="s">
        <v>34</v>
      </c>
      <c r="K142" s="150">
        <v>64.66</v>
      </c>
      <c r="L142" s="150"/>
      <c r="M142" s="141">
        <f>IF(ISBLANK(CkReg13_14[[#This Row],[Withdrawal]]),M141+CkReg13_14[[#This Row],[Deposit]],M141-CkReg13_14[[#This Row],[Withdrawal]])</f>
        <v>15867.900000000003</v>
      </c>
      <c r="N142" s="151"/>
      <c r="O142" s="147"/>
      <c r="P142" s="50">
        <v>41940</v>
      </c>
      <c r="Q142" s="51"/>
      <c r="R142" s="45">
        <f>141.2+122.04+4717.68+172.5+666</f>
        <v>5819.42</v>
      </c>
    </row>
    <row r="143" spans="7:18" s="45" customFormat="1" ht="13.95" customHeight="1" x14ac:dyDescent="0.3">
      <c r="G143" s="147">
        <v>3162</v>
      </c>
      <c r="H143" s="149">
        <v>41938</v>
      </c>
      <c r="I143" s="147" t="s">
        <v>231</v>
      </c>
      <c r="J143" s="147" t="s">
        <v>34</v>
      </c>
      <c r="K143" s="150">
        <v>40.799999999999997</v>
      </c>
      <c r="L143" s="150"/>
      <c r="M143" s="141">
        <f>IF(ISBLANK(CkReg13_14[[#This Row],[Withdrawal]]),M142+CkReg13_14[[#This Row],[Deposit]],M142-CkReg13_14[[#This Row],[Withdrawal]])</f>
        <v>15827.100000000004</v>
      </c>
      <c r="N143" s="151"/>
      <c r="O143" s="147"/>
      <c r="P143" s="50">
        <v>41940</v>
      </c>
      <c r="Q143" s="51"/>
      <c r="R143" s="45">
        <f>+R141+R142</f>
        <v>16403.53</v>
      </c>
    </row>
    <row r="144" spans="7:18" s="45" customFormat="1" ht="13.95" customHeight="1" x14ac:dyDescent="0.3">
      <c r="G144" s="147">
        <v>3163</v>
      </c>
      <c r="H144" s="149">
        <v>41940</v>
      </c>
      <c r="I144" s="147" t="s">
        <v>232</v>
      </c>
      <c r="J144" s="147" t="s">
        <v>44</v>
      </c>
      <c r="K144" s="150">
        <v>510.97</v>
      </c>
      <c r="L144" s="150"/>
      <c r="M144" s="141">
        <f>IF(ISBLANK(CkReg13_14[[#This Row],[Withdrawal]]),M143+CkReg13_14[[#This Row],[Deposit]],M143-CkReg13_14[[#This Row],[Withdrawal]])</f>
        <v>15316.130000000005</v>
      </c>
      <c r="N144" s="151"/>
      <c r="O144" s="147"/>
      <c r="P144" s="50">
        <v>41946</v>
      </c>
      <c r="Q144" s="51"/>
      <c r="R144" s="45">
        <v>1947.99</v>
      </c>
    </row>
    <row r="145" spans="7:18" s="45" customFormat="1" ht="13.95" customHeight="1" x14ac:dyDescent="0.3">
      <c r="G145" s="147">
        <v>3164</v>
      </c>
      <c r="H145" s="149">
        <v>41941</v>
      </c>
      <c r="I145" s="147" t="s">
        <v>233</v>
      </c>
      <c r="J145" s="147" t="s">
        <v>53</v>
      </c>
      <c r="K145" s="150">
        <v>9.8000000000000007</v>
      </c>
      <c r="L145" s="150"/>
      <c r="M145" s="141">
        <f>IF(ISBLANK(CkReg13_14[[#This Row],[Withdrawal]]),M144+CkReg13_14[[#This Row],[Deposit]],M144-CkReg13_14[[#This Row],[Withdrawal]])</f>
        <v>15306.330000000005</v>
      </c>
      <c r="N145" s="151"/>
      <c r="O145" s="147"/>
      <c r="P145" s="50">
        <v>41943</v>
      </c>
      <c r="Q145" s="51"/>
      <c r="R145" s="45">
        <f>+R143-R144</f>
        <v>14455.539999999999</v>
      </c>
    </row>
    <row r="146" spans="7:18" s="45" customFormat="1" ht="13.95" customHeight="1" x14ac:dyDescent="0.3">
      <c r="G146" s="147">
        <v>3165</v>
      </c>
      <c r="H146" s="149">
        <v>41941</v>
      </c>
      <c r="I146" s="147" t="s">
        <v>234</v>
      </c>
      <c r="J146" s="147" t="s">
        <v>34</v>
      </c>
      <c r="K146" s="150">
        <v>225.76</v>
      </c>
      <c r="L146" s="150"/>
      <c r="M146" s="141">
        <f>IF(ISBLANK(CkReg13_14[[#This Row],[Withdrawal]]),M145+CkReg13_14[[#This Row],[Deposit]],M145-CkReg13_14[[#This Row],[Withdrawal]])</f>
        <v>15080.570000000005</v>
      </c>
      <c r="N146" s="151"/>
      <c r="O146" s="147"/>
      <c r="P146" s="50">
        <v>41943</v>
      </c>
      <c r="Q146" s="51"/>
    </row>
    <row r="147" spans="7:18" s="45" customFormat="1" ht="13.95" customHeight="1" x14ac:dyDescent="0.3">
      <c r="G147" s="147">
        <v>3166</v>
      </c>
      <c r="H147" s="149">
        <v>41941</v>
      </c>
      <c r="I147" s="147" t="s">
        <v>235</v>
      </c>
      <c r="J147" s="147" t="s">
        <v>34</v>
      </c>
      <c r="K147" s="150">
        <v>23.74</v>
      </c>
      <c r="L147" s="150"/>
      <c r="M147" s="141">
        <f>IF(ISBLANK(CkReg13_14[[#This Row],[Withdrawal]]),M146+CkReg13_14[[#This Row],[Deposit]],M146-CkReg13_14[[#This Row],[Withdrawal]])</f>
        <v>15056.830000000005</v>
      </c>
      <c r="N147" s="151"/>
      <c r="O147" s="147"/>
      <c r="P147" s="50">
        <v>41942</v>
      </c>
      <c r="Q147" s="51"/>
    </row>
    <row r="148" spans="7:18" s="45" customFormat="1" ht="13.95" customHeight="1" x14ac:dyDescent="0.3">
      <c r="G148" s="159"/>
      <c r="H148" s="162">
        <v>41943</v>
      </c>
      <c r="I148" s="159" t="s">
        <v>90</v>
      </c>
      <c r="J148" s="159" t="s">
        <v>91</v>
      </c>
      <c r="K148" s="157"/>
      <c r="L148" s="157">
        <v>0.49</v>
      </c>
      <c r="M148" s="141">
        <f>IF(ISBLANK(CkReg13_14[[#This Row],[Withdrawal]]),M147+CkReg13_14[[#This Row],[Deposit]],M147-CkReg13_14[[#This Row],[Withdrawal]])</f>
        <v>15057.320000000005</v>
      </c>
      <c r="N148" s="158"/>
      <c r="O148" s="159"/>
      <c r="P148" s="160">
        <v>41943</v>
      </c>
      <c r="Q148" s="161" t="s">
        <v>343</v>
      </c>
    </row>
    <row r="149" spans="7:18" s="45" customFormat="1" ht="13.95" customHeight="1" x14ac:dyDescent="0.3">
      <c r="G149" s="147"/>
      <c r="H149" s="149">
        <v>41943</v>
      </c>
      <c r="I149" s="147" t="s">
        <v>223</v>
      </c>
      <c r="J149" s="147" t="s">
        <v>33</v>
      </c>
      <c r="K149" s="150"/>
      <c r="L149" s="150">
        <v>666</v>
      </c>
      <c r="M149" s="141">
        <f>IF(ISBLANK(CkReg13_14[[#This Row],[Withdrawal]]),M148+CkReg13_14[[#This Row],[Deposit]],M148-CkReg13_14[[#This Row],[Withdrawal]])</f>
        <v>15723.320000000005</v>
      </c>
      <c r="N149" s="49" t="s">
        <v>101</v>
      </c>
      <c r="O149" s="147"/>
      <c r="P149" s="50">
        <v>41947</v>
      </c>
      <c r="Q149" s="51"/>
    </row>
    <row r="150" spans="7:18" s="45" customFormat="1" ht="13.95" customHeight="1" x14ac:dyDescent="0.3">
      <c r="G150" s="147">
        <v>3167</v>
      </c>
      <c r="H150" s="149">
        <v>41943</v>
      </c>
      <c r="I150" s="147" t="s">
        <v>236</v>
      </c>
      <c r="J150" s="147" t="s">
        <v>34</v>
      </c>
      <c r="K150" s="150">
        <v>100</v>
      </c>
      <c r="L150" s="150"/>
      <c r="M150" s="141">
        <f>IF(ISBLANK(CkReg13_14[[#This Row],[Withdrawal]]),M149+CkReg13_14[[#This Row],[Deposit]],M149-CkReg13_14[[#This Row],[Withdrawal]])</f>
        <v>15623.320000000005</v>
      </c>
      <c r="N150" s="151"/>
      <c r="O150" s="147"/>
      <c r="P150" s="50">
        <v>41943</v>
      </c>
      <c r="Q150" s="51"/>
    </row>
    <row r="151" spans="7:18" s="45" customFormat="1" ht="13.95" customHeight="1" x14ac:dyDescent="0.3">
      <c r="G151" s="147">
        <v>3168</v>
      </c>
      <c r="H151" s="149">
        <v>41943</v>
      </c>
      <c r="I151" s="147" t="s">
        <v>237</v>
      </c>
      <c r="J151" s="147" t="s">
        <v>34</v>
      </c>
      <c r="K151" s="150">
        <v>10</v>
      </c>
      <c r="L151" s="150"/>
      <c r="M151" s="141">
        <f>IF(ISBLANK(CkReg13_14[[#This Row],[Withdrawal]]),M150+CkReg13_14[[#This Row],[Deposit]],M150-CkReg13_14[[#This Row],[Withdrawal]])</f>
        <v>15613.320000000005</v>
      </c>
      <c r="N151" s="151"/>
      <c r="O151" s="147"/>
      <c r="P151" s="50">
        <v>41946</v>
      </c>
      <c r="Q151" s="51"/>
    </row>
    <row r="152" spans="7:18" s="45" customFormat="1" ht="13.95" customHeight="1" x14ac:dyDescent="0.3">
      <c r="G152" s="147">
        <v>3169</v>
      </c>
      <c r="H152" s="149">
        <v>41943</v>
      </c>
      <c r="I152" s="147" t="s">
        <v>238</v>
      </c>
      <c r="J152" s="147" t="s">
        <v>34</v>
      </c>
      <c r="K152" s="150">
        <v>200</v>
      </c>
      <c r="L152" s="150"/>
      <c r="M152" s="141">
        <f>IF(ISBLANK(CkReg13_14[[#This Row],[Withdrawal]]),M151+CkReg13_14[[#This Row],[Deposit]],M151-CkReg13_14[[#This Row],[Withdrawal]])</f>
        <v>15413.320000000005</v>
      </c>
      <c r="N152" s="151"/>
      <c r="O152" s="147"/>
      <c r="P152" s="50">
        <v>41946</v>
      </c>
      <c r="Q152" s="51"/>
    </row>
    <row r="153" spans="7:18" s="45" customFormat="1" ht="13.95" customHeight="1" x14ac:dyDescent="0.3">
      <c r="G153" s="147">
        <v>3171</v>
      </c>
      <c r="H153" s="149">
        <v>41943</v>
      </c>
      <c r="I153" s="147" t="s">
        <v>239</v>
      </c>
      <c r="J153" s="147" t="s">
        <v>46</v>
      </c>
      <c r="K153" s="150">
        <v>854.37</v>
      </c>
      <c r="L153" s="150"/>
      <c r="M153" s="141">
        <f>IF(ISBLANK(CkReg13_14[[#This Row],[Withdrawal]]),M152+CkReg13_14[[#This Row],[Deposit]],M152-CkReg13_14[[#This Row],[Withdrawal]])</f>
        <v>14558.950000000004</v>
      </c>
      <c r="N153" s="151"/>
      <c r="O153" s="147"/>
      <c r="P153" s="50">
        <v>41948</v>
      </c>
      <c r="Q153" s="51"/>
    </row>
    <row r="154" spans="7:18" s="45" customFormat="1" ht="13.95" customHeight="1" x14ac:dyDescent="0.3">
      <c r="G154" s="59">
        <v>3170</v>
      </c>
      <c r="H154" s="62">
        <v>41945</v>
      </c>
      <c r="I154" s="59" t="s">
        <v>84</v>
      </c>
      <c r="J154" s="59" t="s">
        <v>51</v>
      </c>
      <c r="K154" s="57">
        <v>80</v>
      </c>
      <c r="L154" s="57"/>
      <c r="M154" s="141">
        <f>IF(ISBLANK(CkReg13_14[[#This Row],[Withdrawal]]),M153+CkReg13_14[[#This Row],[Deposit]],M153-CkReg13_14[[#This Row],[Withdrawal]])</f>
        <v>14478.950000000004</v>
      </c>
      <c r="N154" s="59"/>
      <c r="O154" s="60">
        <v>41950</v>
      </c>
      <c r="P154" s="60">
        <v>41950</v>
      </c>
      <c r="Q154" s="61"/>
    </row>
    <row r="155" spans="7:18" s="45" customFormat="1" ht="13.95" customHeight="1" x14ac:dyDescent="0.3">
      <c r="G155" s="59">
        <v>3172</v>
      </c>
      <c r="H155" s="62">
        <v>41945</v>
      </c>
      <c r="I155" s="59" t="s">
        <v>240</v>
      </c>
      <c r="J155" s="59" t="s">
        <v>40</v>
      </c>
      <c r="K155" s="57">
        <v>488.88</v>
      </c>
      <c r="L155" s="57"/>
      <c r="M155" s="141">
        <f>IF(ISBLANK(CkReg13_14[[#This Row],[Withdrawal]]),M154+CkReg13_14[[#This Row],[Deposit]],M154-CkReg13_14[[#This Row],[Withdrawal]])</f>
        <v>13990.070000000005</v>
      </c>
      <c r="N155" s="59"/>
      <c r="O155" s="60">
        <v>42063</v>
      </c>
      <c r="P155" s="60">
        <v>42063</v>
      </c>
      <c r="Q155" s="61"/>
    </row>
    <row r="156" spans="7:18" s="45" customFormat="1" ht="13.8" x14ac:dyDescent="0.3">
      <c r="G156" s="59">
        <v>3173</v>
      </c>
      <c r="H156" s="62">
        <v>41949</v>
      </c>
      <c r="I156" s="59" t="s">
        <v>241</v>
      </c>
      <c r="J156" s="59" t="s">
        <v>44</v>
      </c>
      <c r="K156" s="57">
        <v>57.75</v>
      </c>
      <c r="L156" s="57"/>
      <c r="M156" s="141">
        <f>IF(ISBLANK(CkReg13_14[[#This Row],[Withdrawal]]),M155+CkReg13_14[[#This Row],[Deposit]],M155-CkReg13_14[[#This Row],[Withdrawal]])</f>
        <v>13932.320000000005</v>
      </c>
      <c r="N156" s="59"/>
      <c r="O156" s="60">
        <v>41961</v>
      </c>
      <c r="P156" s="60">
        <v>41961</v>
      </c>
      <c r="Q156" s="61"/>
    </row>
    <row r="157" spans="7:18" s="45" customFormat="1" ht="13.8" x14ac:dyDescent="0.3">
      <c r="G157" s="63"/>
      <c r="H157" s="64">
        <v>41971</v>
      </c>
      <c r="I157" s="63" t="s">
        <v>261</v>
      </c>
      <c r="J157" s="63" t="s">
        <v>91</v>
      </c>
      <c r="K157" s="65"/>
      <c r="L157" s="65">
        <v>0.56999999999999995</v>
      </c>
      <c r="M157" s="141">
        <f>IF(ISBLANK(CkReg13_14[[#This Row],[Withdrawal]]),M156+CkReg13_14[[#This Row],[Deposit]],M156-CkReg13_14[[#This Row],[Withdrawal]])</f>
        <v>13932.890000000005</v>
      </c>
      <c r="N157" s="63"/>
      <c r="O157" s="66">
        <v>41971</v>
      </c>
      <c r="P157" s="66">
        <v>41971</v>
      </c>
      <c r="Q157" s="72" t="s">
        <v>343</v>
      </c>
    </row>
    <row r="158" spans="7:18" s="45" customFormat="1" ht="13.8" x14ac:dyDescent="0.3">
      <c r="G158" s="37"/>
      <c r="H158" s="37"/>
      <c r="I158" s="37"/>
      <c r="J158" s="37"/>
      <c r="K158" s="41">
        <f>SUBTOTAL(109,CkReg13_14[Withdrawal])</f>
        <v>28787.910000000003</v>
      </c>
      <c r="L158" s="42">
        <f>SUBTOTAL(109,CkReg13_14[Deposit])</f>
        <v>42720.799999999988</v>
      </c>
      <c r="M158" s="41">
        <f>+CkReg13_14[[#Totals],[Deposit]]-CkReg13_14[[#Totals],[Withdrawal]]</f>
        <v>13932.889999999985</v>
      </c>
      <c r="N158" s="43"/>
      <c r="O158" s="43"/>
      <c r="P158" s="43"/>
      <c r="Q158" s="44"/>
    </row>
    <row r="159" spans="7:18" s="45" customFormat="1" ht="13.8" x14ac:dyDescent="0.3">
      <c r="G159" s="133"/>
      <c r="H159" s="133"/>
      <c r="I159" s="133"/>
      <c r="J159" s="133"/>
      <c r="K159" s="133"/>
      <c r="L159" s="133"/>
      <c r="M159" s="133"/>
      <c r="N159" s="133"/>
      <c r="O159" s="133"/>
      <c r="P159" s="133"/>
      <c r="Q159" s="154"/>
    </row>
    <row r="160" spans="7:18" s="45" customFormat="1" x14ac:dyDescent="0.4">
      <c r="G160" s="133"/>
      <c r="H160" s="133"/>
      <c r="I160" s="133"/>
      <c r="J160" s="133"/>
      <c r="K160" s="133"/>
      <c r="L160" s="153"/>
      <c r="M160" s="137"/>
      <c r="N160" s="133"/>
      <c r="O160" s="133"/>
      <c r="P160" s="133"/>
      <c r="Q160" s="154"/>
    </row>
    <row r="161" spans="7:17" s="45" customFormat="1" ht="13.8" x14ac:dyDescent="0.3">
      <c r="G161" s="133"/>
      <c r="H161" s="133"/>
      <c r="I161" s="133"/>
      <c r="J161" s="133"/>
      <c r="K161" s="133"/>
      <c r="L161" s="153"/>
      <c r="M161" s="133"/>
      <c r="N161" s="133"/>
      <c r="O161" s="133"/>
      <c r="P161" s="133"/>
      <c r="Q161" s="154"/>
    </row>
    <row r="162" spans="7:17" s="45" customFormat="1" ht="13.8" x14ac:dyDescent="0.3">
      <c r="G162" s="133"/>
      <c r="H162" s="133"/>
      <c r="I162" s="133"/>
      <c r="J162" s="133"/>
      <c r="K162" s="133"/>
      <c r="L162" s="153"/>
      <c r="M162" s="133"/>
      <c r="N162" s="133"/>
      <c r="O162" s="133"/>
      <c r="P162" s="133"/>
      <c r="Q162" s="154"/>
    </row>
    <row r="163" spans="7:17" s="45" customFormat="1" ht="13.8" x14ac:dyDescent="0.3">
      <c r="G163" s="133"/>
      <c r="H163" s="133"/>
      <c r="I163" s="133"/>
      <c r="J163" s="133"/>
      <c r="K163" s="133"/>
      <c r="L163" s="133"/>
      <c r="M163" s="133"/>
      <c r="N163" s="133"/>
      <c r="O163" s="133"/>
      <c r="P163" s="133"/>
      <c r="Q163" s="154"/>
    </row>
    <row r="164" spans="7:17" s="45" customFormat="1" ht="13.8" x14ac:dyDescent="0.3">
      <c r="G164" s="133"/>
      <c r="H164" s="133"/>
      <c r="I164" s="133"/>
      <c r="J164" s="133"/>
      <c r="K164" s="133"/>
      <c r="L164" s="133"/>
      <c r="M164" s="133"/>
      <c r="N164" s="133"/>
      <c r="O164" s="133"/>
      <c r="P164" s="133"/>
      <c r="Q164" s="154"/>
    </row>
    <row r="165" spans="7:17" s="45" customFormat="1" ht="13.8" x14ac:dyDescent="0.3">
      <c r="G165" s="133"/>
      <c r="H165" s="133"/>
      <c r="I165" s="133"/>
      <c r="J165" s="133"/>
      <c r="K165" s="133"/>
      <c r="L165" s="133"/>
      <c r="M165" s="133"/>
      <c r="N165" s="133"/>
      <c r="O165" s="133"/>
      <c r="P165" s="133"/>
      <c r="Q165" s="154"/>
    </row>
    <row r="166" spans="7:17" s="45" customFormat="1" ht="13.8" x14ac:dyDescent="0.3">
      <c r="G166" s="133"/>
      <c r="H166" s="133"/>
      <c r="I166" s="133"/>
      <c r="J166" s="133"/>
      <c r="K166" s="133"/>
      <c r="L166" s="133"/>
      <c r="M166" s="133"/>
      <c r="N166" s="133"/>
      <c r="O166" s="133"/>
      <c r="P166" s="133"/>
      <c r="Q166" s="154"/>
    </row>
    <row r="167" spans="7:17" s="45" customFormat="1" ht="13.8" x14ac:dyDescent="0.3">
      <c r="G167" s="133"/>
      <c r="H167" s="133"/>
      <c r="I167" s="133"/>
      <c r="J167" s="133"/>
      <c r="K167" s="133"/>
      <c r="L167" s="133"/>
      <c r="M167" s="133"/>
      <c r="N167" s="133"/>
      <c r="O167" s="133"/>
      <c r="P167" s="133"/>
      <c r="Q167" s="154"/>
    </row>
    <row r="168" spans="7:17" s="45" customFormat="1" ht="13.8" x14ac:dyDescent="0.3">
      <c r="G168" s="133"/>
      <c r="H168" s="133"/>
      <c r="I168" s="133"/>
      <c r="J168" s="133"/>
      <c r="K168" s="133"/>
      <c r="L168" s="133"/>
      <c r="M168" s="133"/>
      <c r="N168" s="133"/>
      <c r="O168" s="133"/>
      <c r="P168" s="133"/>
      <c r="Q168" s="154"/>
    </row>
    <row r="169" spans="7:17" s="45" customFormat="1" ht="13.8" x14ac:dyDescent="0.3">
      <c r="G169" s="133"/>
      <c r="H169" s="133"/>
      <c r="I169" s="133"/>
      <c r="J169" s="133"/>
      <c r="K169" s="133"/>
      <c r="L169" s="133"/>
      <c r="M169" s="133"/>
      <c r="N169" s="133"/>
      <c r="O169" s="133"/>
      <c r="P169" s="133"/>
      <c r="Q169" s="154"/>
    </row>
    <row r="170" spans="7:17" s="45" customFormat="1" ht="13.8" x14ac:dyDescent="0.3">
      <c r="G170" s="133"/>
      <c r="H170" s="133"/>
      <c r="I170" s="133"/>
      <c r="J170" s="133"/>
      <c r="K170" s="133"/>
      <c r="L170" s="133"/>
      <c r="M170" s="133"/>
      <c r="N170" s="133"/>
      <c r="O170" s="133"/>
      <c r="P170" s="133"/>
      <c r="Q170" s="154"/>
    </row>
    <row r="171" spans="7:17" s="45" customFormat="1" ht="13.8" x14ac:dyDescent="0.3">
      <c r="G171" s="133"/>
      <c r="H171" s="133"/>
      <c r="I171" s="133"/>
      <c r="J171" s="133"/>
      <c r="K171" s="133"/>
      <c r="L171" s="133"/>
      <c r="M171" s="133"/>
      <c r="N171" s="133"/>
      <c r="O171" s="133"/>
      <c r="P171" s="133"/>
      <c r="Q171" s="154"/>
    </row>
    <row r="172" spans="7:17" s="45" customFormat="1" ht="13.8" x14ac:dyDescent="0.3">
      <c r="G172" s="133"/>
      <c r="H172" s="133"/>
      <c r="I172" s="133"/>
      <c r="J172" s="133"/>
      <c r="K172" s="133"/>
      <c r="L172" s="133"/>
      <c r="M172" s="133"/>
      <c r="N172" s="133"/>
      <c r="O172" s="133"/>
      <c r="P172" s="133"/>
      <c r="Q172" s="154"/>
    </row>
    <row r="173" spans="7:17" s="45" customFormat="1" ht="13.8" x14ac:dyDescent="0.3">
      <c r="G173" s="133"/>
      <c r="H173" s="133"/>
      <c r="I173" s="133"/>
      <c r="J173" s="133"/>
      <c r="K173" s="133"/>
      <c r="L173" s="133"/>
      <c r="M173" s="133"/>
      <c r="N173" s="133"/>
      <c r="O173" s="133"/>
      <c r="P173" s="133"/>
      <c r="Q173" s="154"/>
    </row>
    <row r="174" spans="7:17" s="45" customFormat="1" ht="13.8" x14ac:dyDescent="0.3">
      <c r="G174" s="133"/>
      <c r="H174" s="133"/>
      <c r="I174" s="133"/>
      <c r="J174" s="133"/>
      <c r="K174" s="133"/>
      <c r="L174" s="133"/>
      <c r="M174" s="133"/>
      <c r="N174" s="133"/>
      <c r="O174" s="133"/>
      <c r="P174" s="133"/>
      <c r="Q174" s="154"/>
    </row>
    <row r="175" spans="7:17" s="45" customFormat="1" ht="13.8" x14ac:dyDescent="0.3">
      <c r="G175" s="133"/>
      <c r="H175" s="133"/>
      <c r="I175" s="133"/>
      <c r="J175" s="133"/>
      <c r="K175" s="133"/>
      <c r="L175" s="133"/>
      <c r="M175" s="133"/>
      <c r="N175" s="133"/>
      <c r="O175" s="133"/>
      <c r="P175" s="133"/>
      <c r="Q175" s="154"/>
    </row>
    <row r="176" spans="7:17" s="45" customFormat="1" ht="13.8" x14ac:dyDescent="0.3">
      <c r="G176" s="133"/>
      <c r="H176" s="133"/>
      <c r="I176" s="133"/>
      <c r="J176" s="133"/>
      <c r="K176" s="133"/>
      <c r="L176" s="133"/>
      <c r="M176" s="133"/>
      <c r="N176" s="133"/>
      <c r="O176" s="133"/>
      <c r="P176" s="133"/>
      <c r="Q176" s="154"/>
    </row>
    <row r="177" spans="7:17" s="45" customFormat="1" ht="13.8" x14ac:dyDescent="0.3">
      <c r="G177" s="133"/>
      <c r="H177" s="133"/>
      <c r="I177" s="133"/>
      <c r="J177" s="133"/>
      <c r="K177" s="133"/>
      <c r="L177" s="133"/>
      <c r="M177" s="133"/>
      <c r="N177" s="133"/>
      <c r="O177" s="133"/>
      <c r="P177" s="133"/>
      <c r="Q177" s="154"/>
    </row>
    <row r="178" spans="7:17" s="45" customFormat="1" ht="13.8" x14ac:dyDescent="0.3">
      <c r="G178" s="133"/>
      <c r="H178" s="133"/>
      <c r="I178" s="133"/>
      <c r="J178" s="133"/>
      <c r="K178" s="133"/>
      <c r="L178" s="133"/>
      <c r="M178" s="133"/>
      <c r="N178" s="133"/>
      <c r="O178" s="133"/>
      <c r="P178" s="133"/>
      <c r="Q178" s="154"/>
    </row>
    <row r="179" spans="7:17" s="45" customFormat="1" ht="13.8" x14ac:dyDescent="0.3">
      <c r="G179" s="133"/>
      <c r="H179" s="133"/>
      <c r="I179" s="133"/>
      <c r="J179" s="133"/>
      <c r="K179" s="133"/>
      <c r="L179" s="133"/>
      <c r="M179" s="133"/>
      <c r="N179" s="133"/>
      <c r="O179" s="133"/>
      <c r="P179" s="133"/>
      <c r="Q179" s="154"/>
    </row>
    <row r="180" spans="7:17" s="45" customFormat="1" ht="13.8" x14ac:dyDescent="0.3">
      <c r="G180" s="133"/>
      <c r="H180" s="133"/>
      <c r="I180" s="133"/>
      <c r="J180" s="133"/>
      <c r="K180" s="133"/>
      <c r="L180" s="133"/>
      <c r="M180" s="133"/>
      <c r="N180" s="133"/>
      <c r="O180" s="133"/>
      <c r="P180" s="133"/>
      <c r="Q180" s="154"/>
    </row>
    <row r="181" spans="7:17" s="45" customFormat="1" ht="13.8" x14ac:dyDescent="0.3">
      <c r="G181" s="133"/>
      <c r="H181" s="133"/>
      <c r="I181" s="133"/>
      <c r="J181" s="133"/>
      <c r="K181" s="133"/>
      <c r="L181" s="133"/>
      <c r="M181" s="133"/>
      <c r="N181" s="133"/>
      <c r="O181" s="133"/>
      <c r="P181" s="133"/>
      <c r="Q181" s="154"/>
    </row>
    <row r="182" spans="7:17" s="45" customFormat="1" ht="13.8" x14ac:dyDescent="0.3">
      <c r="G182" s="133"/>
      <c r="H182" s="133"/>
      <c r="I182" s="133"/>
      <c r="J182" s="133"/>
      <c r="K182" s="133"/>
      <c r="L182" s="133"/>
      <c r="M182" s="133"/>
      <c r="N182" s="133"/>
      <c r="O182" s="133"/>
      <c r="P182" s="133"/>
      <c r="Q182" s="154"/>
    </row>
    <row r="183" spans="7:17" s="45" customFormat="1" ht="13.8" x14ac:dyDescent="0.3">
      <c r="G183" s="133"/>
      <c r="H183" s="133"/>
      <c r="I183" s="133"/>
      <c r="J183" s="133"/>
      <c r="K183" s="133"/>
      <c r="L183" s="133"/>
      <c r="M183" s="133"/>
      <c r="N183" s="133"/>
      <c r="O183" s="133"/>
      <c r="P183" s="133"/>
      <c r="Q183" s="154"/>
    </row>
    <row r="184" spans="7:17" s="45" customFormat="1" ht="13.8" x14ac:dyDescent="0.3">
      <c r="G184" s="133"/>
      <c r="H184" s="133"/>
      <c r="I184" s="133"/>
      <c r="J184" s="133"/>
      <c r="K184" s="133"/>
      <c r="L184" s="133"/>
      <c r="M184" s="133"/>
      <c r="N184" s="133"/>
      <c r="O184" s="133"/>
      <c r="P184" s="133"/>
      <c r="Q184" s="154"/>
    </row>
    <row r="185" spans="7:17" s="45" customFormat="1" ht="13.8" x14ac:dyDescent="0.3">
      <c r="G185" s="133"/>
      <c r="H185" s="133"/>
      <c r="I185" s="133"/>
      <c r="J185" s="133"/>
      <c r="K185" s="133"/>
      <c r="L185" s="133"/>
      <c r="M185" s="133"/>
      <c r="N185" s="133"/>
      <c r="O185" s="133"/>
      <c r="P185" s="133"/>
      <c r="Q185" s="154"/>
    </row>
    <row r="186" spans="7:17" s="45" customFormat="1" ht="13.8" x14ac:dyDescent="0.3">
      <c r="G186" s="133"/>
      <c r="H186" s="133"/>
      <c r="I186" s="133"/>
      <c r="J186" s="133"/>
      <c r="K186" s="133"/>
      <c r="L186" s="133"/>
      <c r="M186" s="133"/>
      <c r="N186" s="133"/>
      <c r="O186" s="133"/>
      <c r="P186" s="133"/>
      <c r="Q186" s="154"/>
    </row>
    <row r="187" spans="7:17" s="45" customFormat="1" ht="13.8" x14ac:dyDescent="0.3">
      <c r="G187" s="133"/>
      <c r="H187" s="133"/>
      <c r="I187" s="133"/>
      <c r="J187" s="133"/>
      <c r="K187" s="133"/>
      <c r="L187" s="133"/>
      <c r="M187" s="133"/>
      <c r="N187" s="133"/>
      <c r="O187" s="133"/>
      <c r="P187" s="133"/>
      <c r="Q187" s="154"/>
    </row>
    <row r="188" spans="7:17" s="45" customFormat="1" ht="13.8" x14ac:dyDescent="0.3">
      <c r="G188" s="133"/>
      <c r="H188" s="133"/>
      <c r="I188" s="133"/>
      <c r="J188" s="133"/>
      <c r="K188" s="133"/>
      <c r="L188" s="133"/>
      <c r="M188" s="133"/>
      <c r="N188" s="133"/>
      <c r="O188" s="133"/>
      <c r="P188" s="133"/>
      <c r="Q188" s="154"/>
    </row>
    <row r="189" spans="7:17" s="45" customFormat="1" ht="13.8" x14ac:dyDescent="0.3">
      <c r="G189" s="133"/>
      <c r="H189" s="133"/>
      <c r="I189" s="133"/>
      <c r="J189" s="133"/>
      <c r="K189" s="133"/>
      <c r="L189" s="133"/>
      <c r="M189" s="133"/>
      <c r="N189" s="133"/>
      <c r="O189" s="133"/>
      <c r="P189" s="133"/>
      <c r="Q189" s="154"/>
    </row>
    <row r="190" spans="7:17" s="45" customFormat="1" ht="13.8" x14ac:dyDescent="0.3">
      <c r="G190" s="133"/>
      <c r="H190" s="133"/>
      <c r="I190" s="133"/>
      <c r="J190" s="133"/>
      <c r="K190" s="133"/>
      <c r="L190" s="133"/>
      <c r="M190" s="133"/>
      <c r="N190" s="133"/>
      <c r="O190" s="133"/>
      <c r="P190" s="133"/>
      <c r="Q190" s="154"/>
    </row>
    <row r="191" spans="7:17" s="45" customFormat="1" ht="13.8" x14ac:dyDescent="0.3">
      <c r="G191" s="133"/>
      <c r="H191" s="133"/>
      <c r="I191" s="133"/>
      <c r="J191" s="133"/>
      <c r="K191" s="133"/>
      <c r="L191" s="133"/>
      <c r="M191" s="133"/>
      <c r="N191" s="133"/>
      <c r="O191" s="133"/>
      <c r="P191" s="133"/>
      <c r="Q191" s="154"/>
    </row>
    <row r="192" spans="7:17" s="45" customFormat="1" ht="13.8" x14ac:dyDescent="0.3">
      <c r="G192" s="133"/>
      <c r="H192" s="133"/>
      <c r="I192" s="133"/>
      <c r="J192" s="133"/>
      <c r="K192" s="133"/>
      <c r="L192" s="133"/>
      <c r="M192" s="133"/>
      <c r="N192" s="133"/>
      <c r="O192" s="133"/>
      <c r="P192" s="133"/>
      <c r="Q192" s="154"/>
    </row>
    <row r="193" spans="7:17" s="45" customFormat="1" ht="13.8" x14ac:dyDescent="0.3">
      <c r="G193" s="133"/>
      <c r="H193" s="133"/>
      <c r="I193" s="133"/>
      <c r="J193" s="133"/>
      <c r="K193" s="133"/>
      <c r="L193" s="133"/>
      <c r="M193" s="133"/>
      <c r="N193" s="133"/>
      <c r="O193" s="133"/>
      <c r="P193" s="133"/>
      <c r="Q193" s="154"/>
    </row>
    <row r="194" spans="7:17" s="45" customFormat="1" ht="13.8" x14ac:dyDescent="0.3">
      <c r="G194" s="133"/>
      <c r="H194" s="133"/>
      <c r="I194" s="133"/>
      <c r="J194" s="133"/>
      <c r="K194" s="133"/>
      <c r="L194" s="133"/>
      <c r="M194" s="133"/>
      <c r="N194" s="133"/>
      <c r="O194" s="133"/>
      <c r="P194" s="133"/>
      <c r="Q194" s="154"/>
    </row>
    <row r="195" spans="7:17" s="45" customFormat="1" ht="13.8" x14ac:dyDescent="0.3">
      <c r="G195" s="133"/>
      <c r="H195" s="133"/>
      <c r="I195" s="133"/>
      <c r="J195" s="133"/>
      <c r="K195" s="133"/>
      <c r="L195" s="133"/>
      <c r="M195" s="133"/>
      <c r="N195" s="133"/>
      <c r="O195" s="133"/>
      <c r="P195" s="133"/>
      <c r="Q195" s="154"/>
    </row>
    <row r="196" spans="7:17" s="45" customFormat="1" ht="13.8" x14ac:dyDescent="0.3">
      <c r="G196" s="133"/>
      <c r="H196" s="133"/>
      <c r="I196" s="133"/>
      <c r="J196" s="133"/>
      <c r="K196" s="133"/>
      <c r="L196" s="133"/>
      <c r="M196" s="133"/>
      <c r="N196" s="133"/>
      <c r="O196" s="133"/>
      <c r="P196" s="133"/>
      <c r="Q196" s="154"/>
    </row>
    <row r="197" spans="7:17" s="45" customFormat="1" ht="13.8" x14ac:dyDescent="0.3">
      <c r="G197" s="133"/>
      <c r="H197" s="133"/>
      <c r="I197" s="133"/>
      <c r="J197" s="133"/>
      <c r="K197" s="133"/>
      <c r="L197" s="133"/>
      <c r="M197" s="133"/>
      <c r="N197" s="133"/>
      <c r="O197" s="133"/>
      <c r="P197" s="133"/>
      <c r="Q197" s="154"/>
    </row>
    <row r="198" spans="7:17" s="45" customFormat="1" ht="13.8" x14ac:dyDescent="0.3">
      <c r="G198" s="133"/>
      <c r="H198" s="133"/>
      <c r="I198" s="133"/>
      <c r="J198" s="133"/>
      <c r="K198" s="133"/>
      <c r="L198" s="133"/>
      <c r="M198" s="133"/>
      <c r="N198" s="133"/>
      <c r="O198" s="133"/>
      <c r="P198" s="133"/>
      <c r="Q198" s="154"/>
    </row>
    <row r="199" spans="7:17" s="45" customFormat="1" ht="13.8" x14ac:dyDescent="0.3">
      <c r="G199" s="133"/>
      <c r="H199" s="133"/>
      <c r="I199" s="133"/>
      <c r="J199" s="133"/>
      <c r="K199" s="133"/>
      <c r="L199" s="133"/>
      <c r="M199" s="133"/>
      <c r="N199" s="133"/>
      <c r="O199" s="133"/>
      <c r="P199" s="133"/>
      <c r="Q199" s="154"/>
    </row>
    <row r="200" spans="7:17" s="45" customFormat="1" ht="13.8" x14ac:dyDescent="0.3">
      <c r="G200" s="133"/>
      <c r="H200" s="133"/>
      <c r="I200" s="133"/>
      <c r="J200" s="133"/>
      <c r="K200" s="133"/>
      <c r="L200" s="133"/>
      <c r="M200" s="133"/>
      <c r="N200" s="133"/>
      <c r="O200" s="133"/>
      <c r="P200" s="133"/>
      <c r="Q200" s="154"/>
    </row>
    <row r="201" spans="7:17" s="45" customFormat="1" ht="13.8" x14ac:dyDescent="0.3">
      <c r="G201" s="133"/>
      <c r="H201" s="133"/>
      <c r="I201" s="133"/>
      <c r="J201" s="133"/>
      <c r="K201" s="133"/>
      <c r="L201" s="133"/>
      <c r="M201" s="133"/>
      <c r="N201" s="133"/>
      <c r="O201" s="133"/>
      <c r="P201" s="133"/>
      <c r="Q201" s="154"/>
    </row>
    <row r="202" spans="7:17" s="45" customFormat="1" ht="13.8" x14ac:dyDescent="0.3">
      <c r="G202" s="133"/>
      <c r="H202" s="133"/>
      <c r="I202" s="133"/>
      <c r="J202" s="133"/>
      <c r="K202" s="133"/>
      <c r="L202" s="133"/>
      <c r="M202" s="133"/>
      <c r="N202" s="133"/>
      <c r="O202" s="133"/>
      <c r="P202" s="133"/>
      <c r="Q202" s="154"/>
    </row>
    <row r="203" spans="7:17" s="45" customFormat="1" ht="13.8" x14ac:dyDescent="0.3">
      <c r="G203" s="133"/>
      <c r="H203" s="133"/>
      <c r="I203" s="133"/>
      <c r="J203" s="133"/>
      <c r="K203" s="133"/>
      <c r="L203" s="133"/>
      <c r="M203" s="133"/>
      <c r="N203" s="133"/>
      <c r="O203" s="133"/>
      <c r="P203" s="133"/>
      <c r="Q203" s="154"/>
    </row>
    <row r="204" spans="7:17" s="45" customFormat="1" ht="13.8" x14ac:dyDescent="0.3">
      <c r="G204" s="133"/>
      <c r="H204" s="133"/>
      <c r="I204" s="133"/>
      <c r="J204" s="133"/>
      <c r="K204" s="133"/>
      <c r="L204" s="133"/>
      <c r="M204" s="133"/>
      <c r="N204" s="133"/>
      <c r="O204" s="133"/>
      <c r="P204" s="133"/>
      <c r="Q204" s="154"/>
    </row>
    <row r="205" spans="7:17" s="45" customFormat="1" ht="13.8" x14ac:dyDescent="0.3">
      <c r="G205" s="133"/>
      <c r="H205" s="133"/>
      <c r="I205" s="133"/>
      <c r="J205" s="133"/>
      <c r="K205" s="133"/>
      <c r="L205" s="133"/>
      <c r="M205" s="133"/>
      <c r="N205" s="133"/>
      <c r="O205" s="133"/>
      <c r="P205" s="133"/>
      <c r="Q205" s="154"/>
    </row>
    <row r="206" spans="7:17" s="45" customFormat="1" ht="13.8" x14ac:dyDescent="0.3">
      <c r="G206" s="133"/>
      <c r="H206" s="133"/>
      <c r="I206" s="133"/>
      <c r="J206" s="133"/>
      <c r="K206" s="133"/>
      <c r="L206" s="133"/>
      <c r="M206" s="133"/>
      <c r="N206" s="133"/>
      <c r="O206" s="133"/>
      <c r="P206" s="133"/>
      <c r="Q206" s="154"/>
    </row>
    <row r="207" spans="7:17" s="45" customFormat="1" ht="13.8" x14ac:dyDescent="0.3">
      <c r="G207" s="133"/>
      <c r="H207" s="133"/>
      <c r="I207" s="133"/>
      <c r="J207" s="133"/>
      <c r="K207" s="133"/>
      <c r="L207" s="133"/>
      <c r="M207" s="133"/>
      <c r="N207" s="133"/>
      <c r="O207" s="133"/>
      <c r="P207" s="133"/>
      <c r="Q207" s="154"/>
    </row>
    <row r="208" spans="7:17" s="45" customFormat="1" ht="13.8" x14ac:dyDescent="0.3">
      <c r="G208" s="133"/>
      <c r="H208" s="133"/>
      <c r="I208" s="133"/>
      <c r="J208" s="133"/>
      <c r="K208" s="133"/>
      <c r="L208" s="133"/>
      <c r="M208" s="133"/>
      <c r="N208" s="133"/>
      <c r="O208" s="133"/>
      <c r="P208" s="133"/>
      <c r="Q208" s="154"/>
    </row>
    <row r="209" spans="7:17" s="45" customFormat="1" ht="13.8" x14ac:dyDescent="0.3">
      <c r="G209" s="133"/>
      <c r="H209" s="133"/>
      <c r="I209" s="133"/>
      <c r="J209" s="133"/>
      <c r="K209" s="133"/>
      <c r="L209" s="133"/>
      <c r="M209" s="133"/>
      <c r="N209" s="133"/>
      <c r="O209" s="133"/>
      <c r="P209" s="133"/>
      <c r="Q209" s="154"/>
    </row>
    <row r="210" spans="7:17" s="45" customFormat="1" ht="13.8" x14ac:dyDescent="0.3">
      <c r="G210" s="133"/>
      <c r="H210" s="133"/>
      <c r="I210" s="133"/>
      <c r="J210" s="133"/>
      <c r="K210" s="133"/>
      <c r="L210" s="133"/>
      <c r="M210" s="133"/>
      <c r="N210" s="133"/>
      <c r="O210" s="133"/>
      <c r="P210" s="133"/>
      <c r="Q210" s="154"/>
    </row>
    <row r="211" spans="7:17" s="45" customFormat="1" ht="13.8" x14ac:dyDescent="0.3">
      <c r="G211" s="133"/>
      <c r="H211" s="133"/>
      <c r="I211" s="133"/>
      <c r="J211" s="133"/>
      <c r="K211" s="133"/>
      <c r="L211" s="133"/>
      <c r="M211" s="133"/>
      <c r="N211" s="133"/>
      <c r="O211" s="133"/>
      <c r="P211" s="133"/>
      <c r="Q211" s="154"/>
    </row>
    <row r="212" spans="7:17" s="45" customFormat="1" ht="13.8" x14ac:dyDescent="0.3">
      <c r="G212" s="133"/>
      <c r="H212" s="133"/>
      <c r="I212" s="133"/>
      <c r="J212" s="133"/>
      <c r="K212" s="133"/>
      <c r="L212" s="133"/>
      <c r="M212" s="133"/>
      <c r="N212" s="133"/>
      <c r="O212" s="133"/>
      <c r="P212" s="133"/>
      <c r="Q212" s="154"/>
    </row>
    <row r="213" spans="7:17" s="45" customFormat="1" ht="13.8" x14ac:dyDescent="0.3">
      <c r="G213" s="133"/>
      <c r="H213" s="133"/>
      <c r="I213" s="133"/>
      <c r="J213" s="133"/>
      <c r="K213" s="133"/>
      <c r="L213" s="133"/>
      <c r="M213" s="133"/>
      <c r="N213" s="133"/>
      <c r="O213" s="133"/>
      <c r="P213" s="133"/>
      <c r="Q213" s="154"/>
    </row>
    <row r="214" spans="7:17" s="45" customFormat="1" ht="13.8" x14ac:dyDescent="0.3">
      <c r="G214" s="133"/>
      <c r="H214" s="133"/>
      <c r="I214" s="133"/>
      <c r="J214" s="133"/>
      <c r="K214" s="133"/>
      <c r="L214" s="133"/>
      <c r="M214" s="133"/>
      <c r="N214" s="133"/>
      <c r="O214" s="133"/>
      <c r="P214" s="133"/>
      <c r="Q214" s="154"/>
    </row>
    <row r="215" spans="7:17" s="45" customFormat="1" ht="13.8" x14ac:dyDescent="0.3">
      <c r="G215" s="133"/>
      <c r="H215" s="133"/>
      <c r="I215" s="133"/>
      <c r="J215" s="133"/>
      <c r="K215" s="133"/>
      <c r="L215" s="133"/>
      <c r="M215" s="133"/>
      <c r="N215" s="133"/>
      <c r="O215" s="133"/>
      <c r="P215" s="133"/>
      <c r="Q215" s="154"/>
    </row>
    <row r="216" spans="7:17" s="45" customFormat="1" ht="13.8" x14ac:dyDescent="0.3">
      <c r="G216" s="133"/>
      <c r="H216" s="133"/>
      <c r="I216" s="133"/>
      <c r="J216" s="133"/>
      <c r="K216" s="133"/>
      <c r="L216" s="133"/>
      <c r="M216" s="133"/>
      <c r="N216" s="133"/>
      <c r="O216" s="133"/>
      <c r="P216" s="133"/>
      <c r="Q216" s="154"/>
    </row>
    <row r="217" spans="7:17" s="45" customFormat="1" ht="13.8" x14ac:dyDescent="0.3">
      <c r="G217" s="133"/>
      <c r="H217" s="133"/>
      <c r="I217" s="133"/>
      <c r="J217" s="133"/>
      <c r="K217" s="133"/>
      <c r="L217" s="133"/>
      <c r="M217" s="133"/>
      <c r="N217" s="133"/>
      <c r="O217" s="133"/>
      <c r="P217" s="133"/>
      <c r="Q217" s="154"/>
    </row>
    <row r="218" spans="7:17" s="45" customFormat="1" ht="13.8" x14ac:dyDescent="0.3">
      <c r="G218" s="133"/>
      <c r="H218" s="133"/>
      <c r="I218" s="133"/>
      <c r="J218" s="133"/>
      <c r="K218" s="133"/>
      <c r="L218" s="133"/>
      <c r="M218" s="133"/>
      <c r="N218" s="133"/>
      <c r="O218" s="133"/>
      <c r="P218" s="133"/>
      <c r="Q218" s="154"/>
    </row>
    <row r="219" spans="7:17" s="45" customFormat="1" ht="13.8" x14ac:dyDescent="0.3">
      <c r="G219" s="133"/>
      <c r="H219" s="133"/>
      <c r="I219" s="133"/>
      <c r="J219" s="133"/>
      <c r="K219" s="133"/>
      <c r="L219" s="133"/>
      <c r="M219" s="133"/>
      <c r="N219" s="133"/>
      <c r="O219" s="133"/>
      <c r="P219" s="133"/>
      <c r="Q219" s="154"/>
    </row>
    <row r="220" spans="7:17" s="45" customFormat="1" ht="13.8" x14ac:dyDescent="0.3">
      <c r="G220" s="133"/>
      <c r="H220" s="133"/>
      <c r="I220" s="133"/>
      <c r="J220" s="133"/>
      <c r="K220" s="133"/>
      <c r="L220" s="133"/>
      <c r="M220" s="133"/>
      <c r="N220" s="133"/>
      <c r="O220" s="133"/>
      <c r="P220" s="133"/>
      <c r="Q220" s="154"/>
    </row>
    <row r="221" spans="7:17" s="45" customFormat="1" ht="13.8" x14ac:dyDescent="0.3">
      <c r="G221" s="133"/>
      <c r="H221" s="133"/>
      <c r="I221" s="133"/>
      <c r="J221" s="133"/>
      <c r="K221" s="133"/>
      <c r="L221" s="133"/>
      <c r="M221" s="133"/>
      <c r="N221" s="133"/>
      <c r="O221" s="133"/>
      <c r="P221" s="133"/>
      <c r="Q221" s="154"/>
    </row>
    <row r="222" spans="7:17" s="45" customFormat="1" ht="13.8" x14ac:dyDescent="0.3">
      <c r="G222" s="133"/>
      <c r="H222" s="133"/>
      <c r="I222" s="133"/>
      <c r="J222" s="133"/>
      <c r="K222" s="133"/>
      <c r="L222" s="133"/>
      <c r="M222" s="133"/>
      <c r="N222" s="133"/>
      <c r="O222" s="133"/>
      <c r="P222" s="133"/>
      <c r="Q222" s="154"/>
    </row>
    <row r="223" spans="7:17" s="45" customFormat="1" ht="13.8" x14ac:dyDescent="0.3">
      <c r="G223" s="133"/>
      <c r="H223" s="133"/>
      <c r="I223" s="133"/>
      <c r="J223" s="133"/>
      <c r="K223" s="133"/>
      <c r="L223" s="133"/>
      <c r="M223" s="133"/>
      <c r="N223" s="133"/>
      <c r="O223" s="133"/>
      <c r="P223" s="133"/>
      <c r="Q223" s="154"/>
    </row>
    <row r="224" spans="7:17" s="45" customFormat="1" ht="13.8" x14ac:dyDescent="0.3">
      <c r="G224" s="133"/>
      <c r="H224" s="133"/>
      <c r="I224" s="133"/>
      <c r="J224" s="133"/>
      <c r="K224" s="133"/>
      <c r="L224" s="133"/>
      <c r="M224" s="133"/>
      <c r="N224" s="133"/>
      <c r="O224" s="133"/>
      <c r="P224" s="133"/>
      <c r="Q224" s="154"/>
    </row>
    <row r="225" spans="7:17" s="45" customFormat="1" ht="13.8" x14ac:dyDescent="0.3">
      <c r="G225" s="133"/>
      <c r="H225" s="133"/>
      <c r="I225" s="133"/>
      <c r="J225" s="133"/>
      <c r="K225" s="133"/>
      <c r="L225" s="133"/>
      <c r="M225" s="133"/>
      <c r="N225" s="133"/>
      <c r="O225" s="133"/>
      <c r="P225" s="133"/>
      <c r="Q225" s="154"/>
    </row>
    <row r="226" spans="7:17" s="45" customFormat="1" ht="13.8" x14ac:dyDescent="0.3">
      <c r="G226" s="133"/>
      <c r="H226" s="133"/>
      <c r="I226" s="133"/>
      <c r="J226" s="133"/>
      <c r="K226" s="133"/>
      <c r="L226" s="133"/>
      <c r="M226" s="133"/>
      <c r="N226" s="133"/>
      <c r="O226" s="133"/>
      <c r="P226" s="133"/>
      <c r="Q226" s="154"/>
    </row>
    <row r="227" spans="7:17" s="45" customFormat="1" ht="13.8" x14ac:dyDescent="0.3">
      <c r="G227" s="133"/>
      <c r="H227" s="133"/>
      <c r="I227" s="133"/>
      <c r="J227" s="133"/>
      <c r="K227" s="133"/>
      <c r="L227" s="133"/>
      <c r="M227" s="133"/>
      <c r="N227" s="133"/>
      <c r="O227" s="133"/>
      <c r="P227" s="133"/>
      <c r="Q227" s="154"/>
    </row>
    <row r="228" spans="7:17" s="45" customFormat="1" ht="13.8" x14ac:dyDescent="0.3">
      <c r="G228" s="133"/>
      <c r="H228" s="133"/>
      <c r="I228" s="133"/>
      <c r="J228" s="133"/>
      <c r="K228" s="133"/>
      <c r="L228" s="133"/>
      <c r="M228" s="133"/>
      <c r="N228" s="133"/>
      <c r="O228" s="133"/>
      <c r="P228" s="133"/>
      <c r="Q228" s="154"/>
    </row>
    <row r="229" spans="7:17" s="45" customFormat="1" ht="13.8" x14ac:dyDescent="0.3">
      <c r="G229" s="133"/>
      <c r="H229" s="133"/>
      <c r="I229" s="133"/>
      <c r="J229" s="133"/>
      <c r="K229" s="133"/>
      <c r="L229" s="133"/>
      <c r="M229" s="133"/>
      <c r="N229" s="133"/>
      <c r="O229" s="133"/>
      <c r="P229" s="133"/>
      <c r="Q229" s="154"/>
    </row>
    <row r="230" spans="7:17" s="45" customFormat="1" ht="13.8" x14ac:dyDescent="0.3">
      <c r="G230" s="133"/>
      <c r="H230" s="133"/>
      <c r="I230" s="133"/>
      <c r="J230" s="133"/>
      <c r="K230" s="133"/>
      <c r="L230" s="133"/>
      <c r="M230" s="133"/>
      <c r="N230" s="133"/>
      <c r="O230" s="133"/>
      <c r="P230" s="133"/>
      <c r="Q230" s="154"/>
    </row>
    <row r="231" spans="7:17" s="45" customFormat="1" ht="13.8" x14ac:dyDescent="0.3">
      <c r="G231" s="133"/>
      <c r="H231" s="133"/>
      <c r="I231" s="133"/>
      <c r="J231" s="133"/>
      <c r="K231" s="133"/>
      <c r="L231" s="133"/>
      <c r="M231" s="133"/>
      <c r="N231" s="133"/>
      <c r="O231" s="133"/>
      <c r="P231" s="133"/>
      <c r="Q231" s="154"/>
    </row>
    <row r="232" spans="7:17" s="45" customFormat="1" ht="13.8" x14ac:dyDescent="0.3">
      <c r="G232" s="133"/>
      <c r="H232" s="133"/>
      <c r="I232" s="133"/>
      <c r="J232" s="133"/>
      <c r="K232" s="133"/>
      <c r="L232" s="133"/>
      <c r="M232" s="133"/>
      <c r="N232" s="133"/>
      <c r="O232" s="133"/>
      <c r="P232" s="133"/>
      <c r="Q232" s="154"/>
    </row>
    <row r="233" spans="7:17" s="45" customFormat="1" ht="13.8" x14ac:dyDescent="0.3">
      <c r="G233" s="133"/>
      <c r="H233" s="133"/>
      <c r="I233" s="133"/>
      <c r="J233" s="133"/>
      <c r="K233" s="133"/>
      <c r="L233" s="133"/>
      <c r="M233" s="133"/>
      <c r="N233" s="133"/>
      <c r="O233" s="133"/>
      <c r="P233" s="133"/>
      <c r="Q233" s="154"/>
    </row>
    <row r="234" spans="7:17" s="45" customFormat="1" ht="13.8" x14ac:dyDescent="0.3">
      <c r="G234" s="133"/>
      <c r="H234" s="133"/>
      <c r="I234" s="133"/>
      <c r="J234" s="133"/>
      <c r="K234" s="133"/>
      <c r="L234" s="133"/>
      <c r="M234" s="133"/>
      <c r="N234" s="133"/>
      <c r="O234" s="133"/>
      <c r="P234" s="133"/>
      <c r="Q234" s="154"/>
    </row>
    <row r="235" spans="7:17" s="45" customFormat="1" ht="13.8" x14ac:dyDescent="0.3">
      <c r="G235" s="133"/>
      <c r="H235" s="133"/>
      <c r="I235" s="133"/>
      <c r="J235" s="133"/>
      <c r="K235" s="133"/>
      <c r="L235" s="133"/>
      <c r="M235" s="133"/>
      <c r="N235" s="133"/>
      <c r="O235" s="133"/>
      <c r="P235" s="133"/>
      <c r="Q235" s="154"/>
    </row>
    <row r="236" spans="7:17" s="45" customFormat="1" ht="13.8" x14ac:dyDescent="0.3">
      <c r="G236" s="133"/>
      <c r="H236" s="133"/>
      <c r="I236" s="133"/>
      <c r="J236" s="133"/>
      <c r="K236" s="133"/>
      <c r="L236" s="133"/>
      <c r="M236" s="133"/>
      <c r="N236" s="133"/>
      <c r="O236" s="133"/>
      <c r="P236" s="133"/>
      <c r="Q236" s="154"/>
    </row>
    <row r="237" spans="7:17" s="45" customFormat="1" ht="13.8" x14ac:dyDescent="0.3">
      <c r="G237" s="133"/>
      <c r="H237" s="133"/>
      <c r="I237" s="133"/>
      <c r="J237" s="133"/>
      <c r="K237" s="133"/>
      <c r="L237" s="133"/>
      <c r="M237" s="133"/>
      <c r="N237" s="133"/>
      <c r="O237" s="133"/>
      <c r="P237" s="133"/>
      <c r="Q237" s="154"/>
    </row>
    <row r="238" spans="7:17" s="45" customFormat="1" ht="13.8" x14ac:dyDescent="0.3">
      <c r="G238" s="133"/>
      <c r="H238" s="133"/>
      <c r="I238" s="133"/>
      <c r="J238" s="133"/>
      <c r="K238" s="133"/>
      <c r="L238" s="133"/>
      <c r="M238" s="133"/>
      <c r="N238" s="133"/>
      <c r="O238" s="133"/>
      <c r="P238" s="133"/>
      <c r="Q238" s="154"/>
    </row>
    <row r="239" spans="7:17" s="45" customFormat="1" ht="13.8" x14ac:dyDescent="0.3">
      <c r="G239" s="133"/>
      <c r="H239" s="133"/>
      <c r="I239" s="133"/>
      <c r="J239" s="133"/>
      <c r="K239" s="133"/>
      <c r="L239" s="133"/>
      <c r="M239" s="133"/>
      <c r="N239" s="133"/>
      <c r="O239" s="133"/>
      <c r="P239" s="133"/>
      <c r="Q239" s="154"/>
    </row>
    <row r="240" spans="7:17" s="45" customFormat="1" ht="13.8" x14ac:dyDescent="0.3">
      <c r="G240" s="133"/>
      <c r="H240" s="133"/>
      <c r="I240" s="133"/>
      <c r="J240" s="133"/>
      <c r="K240" s="133"/>
      <c r="L240" s="133"/>
      <c r="M240" s="133"/>
      <c r="N240" s="133"/>
      <c r="O240" s="133"/>
      <c r="P240" s="133"/>
      <c r="Q240" s="154"/>
    </row>
    <row r="241" spans="7:17" s="45" customFormat="1" ht="13.8" x14ac:dyDescent="0.3">
      <c r="G241" s="133"/>
      <c r="H241" s="133"/>
      <c r="I241" s="133"/>
      <c r="J241" s="133"/>
      <c r="K241" s="133"/>
      <c r="L241" s="133"/>
      <c r="M241" s="133"/>
      <c r="N241" s="133"/>
      <c r="O241" s="133"/>
      <c r="P241" s="133"/>
      <c r="Q241" s="154"/>
    </row>
    <row r="242" spans="7:17" s="45" customFormat="1" ht="13.8" x14ac:dyDescent="0.3">
      <c r="G242" s="133"/>
      <c r="H242" s="133"/>
      <c r="I242" s="133"/>
      <c r="J242" s="133"/>
      <c r="K242" s="133"/>
      <c r="L242" s="133"/>
      <c r="M242" s="133"/>
      <c r="N242" s="133"/>
      <c r="O242" s="133"/>
      <c r="P242" s="133"/>
      <c r="Q242" s="154"/>
    </row>
    <row r="243" spans="7:17" s="45" customFormat="1" ht="13.8" x14ac:dyDescent="0.3">
      <c r="G243" s="133"/>
      <c r="H243" s="133"/>
      <c r="I243" s="133"/>
      <c r="J243" s="133"/>
      <c r="K243" s="133"/>
      <c r="L243" s="133"/>
      <c r="M243" s="133"/>
      <c r="N243" s="133"/>
      <c r="O243" s="133"/>
      <c r="P243" s="133"/>
      <c r="Q243" s="154"/>
    </row>
    <row r="244" spans="7:17" s="45" customFormat="1" ht="13.8" x14ac:dyDescent="0.3">
      <c r="G244" s="133"/>
      <c r="H244" s="133"/>
      <c r="I244" s="133"/>
      <c r="J244" s="133"/>
      <c r="K244" s="133"/>
      <c r="L244" s="133"/>
      <c r="M244" s="133"/>
      <c r="N244" s="133"/>
      <c r="O244" s="133"/>
      <c r="P244" s="133"/>
      <c r="Q244" s="154"/>
    </row>
    <row r="245" spans="7:17" s="45" customFormat="1" ht="13.8" x14ac:dyDescent="0.3">
      <c r="G245" s="133"/>
      <c r="H245" s="133"/>
      <c r="I245" s="133"/>
      <c r="J245" s="133"/>
      <c r="K245" s="133"/>
      <c r="L245" s="133"/>
      <c r="M245" s="133"/>
      <c r="N245" s="133"/>
      <c r="O245" s="133"/>
      <c r="P245" s="133"/>
      <c r="Q245" s="154"/>
    </row>
    <row r="246" spans="7:17" s="45" customFormat="1" ht="13.8" x14ac:dyDescent="0.3">
      <c r="G246" s="133"/>
      <c r="H246" s="133"/>
      <c r="I246" s="133"/>
      <c r="J246" s="133"/>
      <c r="K246" s="133"/>
      <c r="L246" s="133"/>
      <c r="M246" s="133"/>
      <c r="N246" s="133"/>
      <c r="O246" s="133"/>
      <c r="P246" s="133"/>
      <c r="Q246" s="154"/>
    </row>
    <row r="247" spans="7:17" s="45" customFormat="1" ht="13.8" x14ac:dyDescent="0.3">
      <c r="G247" s="133"/>
      <c r="H247" s="133"/>
      <c r="I247" s="133"/>
      <c r="J247" s="133"/>
      <c r="K247" s="133"/>
      <c r="L247" s="133"/>
      <c r="M247" s="133"/>
      <c r="N247" s="133"/>
      <c r="O247" s="133"/>
      <c r="P247" s="133"/>
      <c r="Q247" s="154"/>
    </row>
    <row r="248" spans="7:17" s="45" customFormat="1" ht="13.8" x14ac:dyDescent="0.3">
      <c r="G248" s="133"/>
      <c r="H248" s="133"/>
      <c r="I248" s="133"/>
      <c r="J248" s="133"/>
      <c r="K248" s="133"/>
      <c r="L248" s="133"/>
      <c r="M248" s="133"/>
      <c r="N248" s="133"/>
      <c r="O248" s="133"/>
      <c r="P248" s="133"/>
      <c r="Q248" s="154"/>
    </row>
    <row r="249" spans="7:17" s="45" customFormat="1" ht="13.8" x14ac:dyDescent="0.3">
      <c r="G249" s="133"/>
      <c r="H249" s="133"/>
      <c r="I249" s="133"/>
      <c r="J249" s="133"/>
      <c r="K249" s="133"/>
      <c r="L249" s="133"/>
      <c r="M249" s="133"/>
      <c r="N249" s="133"/>
      <c r="O249" s="133"/>
      <c r="P249" s="133"/>
      <c r="Q249" s="154"/>
    </row>
    <row r="250" spans="7:17" s="45" customFormat="1" ht="13.8" x14ac:dyDescent="0.3">
      <c r="G250" s="133"/>
      <c r="H250" s="133"/>
      <c r="I250" s="133"/>
      <c r="J250" s="133"/>
      <c r="K250" s="133"/>
      <c r="L250" s="133"/>
      <c r="M250" s="133"/>
      <c r="N250" s="133"/>
      <c r="O250" s="133"/>
      <c r="P250" s="133"/>
      <c r="Q250" s="154"/>
    </row>
    <row r="251" spans="7:17" s="45" customFormat="1" ht="13.8" x14ac:dyDescent="0.3">
      <c r="G251" s="133"/>
      <c r="H251" s="133"/>
      <c r="I251" s="133"/>
      <c r="J251" s="133"/>
      <c r="K251" s="133"/>
      <c r="L251" s="133"/>
      <c r="M251" s="133"/>
      <c r="N251" s="133"/>
      <c r="O251" s="133"/>
      <c r="P251" s="133"/>
      <c r="Q251" s="154"/>
    </row>
    <row r="252" spans="7:17" s="45" customFormat="1" ht="13.8" x14ac:dyDescent="0.3">
      <c r="G252" s="133"/>
      <c r="H252" s="133"/>
      <c r="I252" s="133"/>
      <c r="J252" s="133"/>
      <c r="K252" s="133"/>
      <c r="L252" s="133"/>
      <c r="M252" s="133"/>
      <c r="N252" s="133"/>
      <c r="O252" s="133"/>
      <c r="P252" s="133"/>
      <c r="Q252" s="154"/>
    </row>
    <row r="253" spans="7:17" s="45" customFormat="1" ht="13.8" x14ac:dyDescent="0.3">
      <c r="G253" s="133"/>
      <c r="H253" s="133"/>
      <c r="I253" s="133"/>
      <c r="J253" s="133"/>
      <c r="K253" s="133"/>
      <c r="L253" s="133"/>
      <c r="M253" s="133"/>
      <c r="N253" s="133"/>
      <c r="O253" s="133"/>
      <c r="P253" s="133"/>
      <c r="Q253" s="154"/>
    </row>
    <row r="254" spans="7:17" s="45" customFormat="1" ht="13.8" x14ac:dyDescent="0.3">
      <c r="G254" s="133"/>
      <c r="H254" s="133"/>
      <c r="I254" s="133"/>
      <c r="J254" s="133"/>
      <c r="K254" s="133"/>
      <c r="L254" s="133"/>
      <c r="M254" s="133"/>
      <c r="N254" s="133"/>
      <c r="O254" s="133"/>
      <c r="P254" s="133"/>
      <c r="Q254" s="154"/>
    </row>
    <row r="255" spans="7:17" s="45" customFormat="1" ht="13.8" x14ac:dyDescent="0.3">
      <c r="G255" s="133"/>
      <c r="H255" s="133"/>
      <c r="I255" s="133"/>
      <c r="J255" s="133"/>
      <c r="K255" s="133"/>
      <c r="L255" s="133"/>
      <c r="M255" s="133"/>
      <c r="N255" s="133"/>
      <c r="O255" s="133"/>
      <c r="P255" s="133"/>
      <c r="Q255" s="154"/>
    </row>
    <row r="256" spans="7:17" s="45" customFormat="1" ht="13.8" x14ac:dyDescent="0.3">
      <c r="G256" s="133"/>
      <c r="H256" s="133"/>
      <c r="I256" s="133"/>
      <c r="J256" s="133"/>
      <c r="K256" s="133"/>
      <c r="L256" s="133"/>
      <c r="M256" s="133"/>
      <c r="N256" s="133"/>
      <c r="O256" s="133"/>
      <c r="P256" s="133"/>
      <c r="Q256" s="154"/>
    </row>
    <row r="257" spans="7:17" s="45" customFormat="1" ht="13.8" x14ac:dyDescent="0.3">
      <c r="G257" s="133"/>
      <c r="H257" s="133"/>
      <c r="I257" s="133"/>
      <c r="J257" s="133"/>
      <c r="K257" s="133"/>
      <c r="L257" s="133"/>
      <c r="M257" s="133"/>
      <c r="N257" s="133"/>
      <c r="O257" s="133"/>
      <c r="P257" s="133"/>
      <c r="Q257" s="154"/>
    </row>
    <row r="258" spans="7:17" s="45" customFormat="1" ht="13.8" x14ac:dyDescent="0.3">
      <c r="G258" s="133"/>
      <c r="H258" s="133"/>
      <c r="I258" s="133"/>
      <c r="J258" s="133"/>
      <c r="K258" s="133"/>
      <c r="L258" s="133"/>
      <c r="M258" s="133"/>
      <c r="N258" s="133"/>
      <c r="O258" s="133"/>
      <c r="P258" s="133"/>
      <c r="Q258" s="154"/>
    </row>
    <row r="259" spans="7:17" s="45" customFormat="1" ht="13.8" x14ac:dyDescent="0.3">
      <c r="G259" s="133"/>
      <c r="H259" s="133"/>
      <c r="I259" s="133"/>
      <c r="J259" s="133"/>
      <c r="K259" s="133"/>
      <c r="L259" s="133"/>
      <c r="M259" s="133"/>
      <c r="N259" s="133"/>
      <c r="O259" s="133"/>
      <c r="P259" s="133"/>
      <c r="Q259" s="154"/>
    </row>
    <row r="260" spans="7:17" s="45" customFormat="1" ht="13.8" x14ac:dyDescent="0.3">
      <c r="G260" s="133"/>
      <c r="H260" s="133"/>
      <c r="I260" s="133"/>
      <c r="J260" s="133"/>
      <c r="K260" s="133"/>
      <c r="L260" s="133"/>
      <c r="M260" s="133"/>
      <c r="N260" s="133"/>
      <c r="O260" s="133"/>
      <c r="P260" s="133"/>
      <c r="Q260" s="154"/>
    </row>
    <row r="261" spans="7:17" s="45" customFormat="1" ht="13.8" x14ac:dyDescent="0.3">
      <c r="G261" s="133"/>
      <c r="H261" s="133"/>
      <c r="I261" s="133"/>
      <c r="J261" s="133"/>
      <c r="K261" s="133"/>
      <c r="L261" s="133"/>
      <c r="M261" s="133"/>
      <c r="N261" s="133"/>
      <c r="O261" s="133"/>
      <c r="P261" s="133"/>
      <c r="Q261" s="154"/>
    </row>
    <row r="262" spans="7:17" s="45" customFormat="1" ht="13.8" x14ac:dyDescent="0.3">
      <c r="G262" s="133"/>
      <c r="H262" s="133"/>
      <c r="I262" s="133"/>
      <c r="J262" s="133"/>
      <c r="K262" s="133"/>
      <c r="L262" s="133"/>
      <c r="M262" s="133"/>
      <c r="N262" s="133"/>
      <c r="O262" s="133"/>
      <c r="P262" s="133"/>
      <c r="Q262" s="154"/>
    </row>
    <row r="263" spans="7:17" s="45" customFormat="1" ht="13.8" x14ac:dyDescent="0.3">
      <c r="G263" s="133"/>
      <c r="H263" s="133"/>
      <c r="I263" s="133"/>
      <c r="J263" s="133"/>
      <c r="K263" s="133"/>
      <c r="L263" s="133"/>
      <c r="M263" s="133"/>
      <c r="N263" s="133"/>
      <c r="O263" s="133"/>
      <c r="P263" s="133"/>
      <c r="Q263" s="154"/>
    </row>
    <row r="264" spans="7:17" s="45" customFormat="1" ht="13.8" x14ac:dyDescent="0.3">
      <c r="G264" s="133"/>
      <c r="H264" s="133"/>
      <c r="I264" s="133"/>
      <c r="J264" s="133"/>
      <c r="K264" s="133"/>
      <c r="L264" s="133"/>
      <c r="M264" s="133"/>
      <c r="N264" s="133"/>
      <c r="O264" s="133"/>
      <c r="P264" s="133"/>
      <c r="Q264" s="154"/>
    </row>
    <row r="265" spans="7:17" s="45" customFormat="1" ht="13.8" x14ac:dyDescent="0.3">
      <c r="G265" s="133"/>
      <c r="H265" s="133"/>
      <c r="I265" s="133"/>
      <c r="J265" s="133"/>
      <c r="K265" s="133"/>
      <c r="L265" s="133"/>
      <c r="M265" s="133"/>
      <c r="N265" s="133"/>
      <c r="O265" s="133"/>
      <c r="P265" s="133"/>
      <c r="Q265" s="154"/>
    </row>
    <row r="266" spans="7:17" s="45" customFormat="1" ht="13.8" x14ac:dyDescent="0.3">
      <c r="G266" s="133"/>
      <c r="H266" s="133"/>
      <c r="I266" s="133"/>
      <c r="J266" s="133"/>
      <c r="K266" s="133"/>
      <c r="L266" s="133"/>
      <c r="M266" s="133"/>
      <c r="N266" s="133"/>
      <c r="O266" s="133"/>
      <c r="P266" s="133"/>
      <c r="Q266" s="154"/>
    </row>
    <row r="267" spans="7:17" s="45" customFormat="1" ht="13.8" x14ac:dyDescent="0.3">
      <c r="G267" s="133"/>
      <c r="H267" s="133"/>
      <c r="I267" s="133"/>
      <c r="J267" s="133"/>
      <c r="K267" s="133"/>
      <c r="L267" s="133"/>
      <c r="M267" s="133"/>
      <c r="N267" s="133"/>
      <c r="O267" s="133"/>
      <c r="P267" s="133"/>
      <c r="Q267" s="154"/>
    </row>
    <row r="268" spans="7:17" s="45" customFormat="1" ht="13.8" x14ac:dyDescent="0.3">
      <c r="G268" s="133"/>
      <c r="H268" s="133"/>
      <c r="I268" s="133"/>
      <c r="J268" s="133"/>
      <c r="K268" s="133"/>
      <c r="L268" s="133"/>
      <c r="M268" s="133"/>
      <c r="N268" s="133"/>
      <c r="O268" s="133"/>
      <c r="P268" s="133"/>
      <c r="Q268" s="154"/>
    </row>
    <row r="269" spans="7:17" s="45" customFormat="1" ht="13.8" x14ac:dyDescent="0.3">
      <c r="G269" s="133"/>
      <c r="H269" s="133"/>
      <c r="I269" s="133"/>
      <c r="J269" s="133"/>
      <c r="K269" s="133"/>
      <c r="L269" s="133"/>
      <c r="M269" s="133"/>
      <c r="N269" s="133"/>
      <c r="O269" s="133"/>
      <c r="P269" s="133"/>
      <c r="Q269" s="154"/>
    </row>
    <row r="270" spans="7:17" s="45" customFormat="1" ht="13.8" x14ac:dyDescent="0.3">
      <c r="G270" s="133"/>
      <c r="H270" s="133"/>
      <c r="I270" s="133"/>
      <c r="J270" s="133"/>
      <c r="K270" s="133"/>
      <c r="L270" s="133"/>
      <c r="M270" s="133"/>
      <c r="N270" s="133"/>
      <c r="O270" s="133"/>
      <c r="P270" s="133"/>
      <c r="Q270" s="154"/>
    </row>
    <row r="271" spans="7:17" s="45" customFormat="1" ht="13.8" x14ac:dyDescent="0.3">
      <c r="G271" s="133"/>
      <c r="H271" s="133"/>
      <c r="I271" s="133"/>
      <c r="J271" s="133"/>
      <c r="K271" s="133"/>
      <c r="L271" s="133"/>
      <c r="M271" s="133"/>
      <c r="N271" s="133"/>
      <c r="O271" s="133"/>
      <c r="P271" s="133"/>
      <c r="Q271" s="154"/>
    </row>
    <row r="272" spans="7:17" s="45" customFormat="1" ht="13.8" x14ac:dyDescent="0.3">
      <c r="G272" s="133"/>
      <c r="H272" s="133"/>
      <c r="I272" s="133"/>
      <c r="J272" s="133"/>
      <c r="K272" s="133"/>
      <c r="L272" s="133"/>
      <c r="M272" s="133"/>
      <c r="N272" s="133"/>
      <c r="O272" s="133"/>
      <c r="P272" s="133"/>
      <c r="Q272" s="154"/>
    </row>
    <row r="273" spans="7:17" s="45" customFormat="1" ht="13.8" x14ac:dyDescent="0.3">
      <c r="G273" s="133"/>
      <c r="H273" s="133"/>
      <c r="I273" s="133"/>
      <c r="J273" s="133"/>
      <c r="K273" s="133"/>
      <c r="L273" s="133"/>
      <c r="M273" s="133"/>
      <c r="N273" s="133"/>
      <c r="O273" s="133"/>
      <c r="P273" s="133"/>
      <c r="Q273" s="154"/>
    </row>
    <row r="274" spans="7:17" s="45" customFormat="1" ht="13.8" x14ac:dyDescent="0.3">
      <c r="G274" s="133"/>
      <c r="H274" s="133"/>
      <c r="I274" s="133"/>
      <c r="J274" s="133"/>
      <c r="K274" s="133"/>
      <c r="L274" s="133"/>
      <c r="M274" s="133"/>
      <c r="N274" s="133"/>
      <c r="O274" s="133"/>
      <c r="P274" s="133"/>
      <c r="Q274" s="154"/>
    </row>
    <row r="275" spans="7:17" s="45" customFormat="1" ht="13.8" x14ac:dyDescent="0.3">
      <c r="G275" s="133"/>
      <c r="H275" s="133"/>
      <c r="I275" s="133"/>
      <c r="J275" s="133"/>
      <c r="K275" s="133"/>
      <c r="L275" s="133"/>
      <c r="M275" s="133"/>
      <c r="N275" s="133"/>
      <c r="O275" s="133"/>
      <c r="P275" s="133"/>
      <c r="Q275" s="154"/>
    </row>
    <row r="276" spans="7:17" s="45" customFormat="1" ht="13.8" x14ac:dyDescent="0.3">
      <c r="G276" s="133"/>
      <c r="H276" s="133"/>
      <c r="I276" s="133"/>
      <c r="J276" s="133"/>
      <c r="K276" s="133"/>
      <c r="L276" s="133"/>
      <c r="M276" s="133"/>
      <c r="N276" s="133"/>
      <c r="O276" s="133"/>
      <c r="P276" s="133"/>
      <c r="Q276" s="154"/>
    </row>
    <row r="277" spans="7:17" s="45" customFormat="1" ht="13.8" x14ac:dyDescent="0.3">
      <c r="G277" s="133"/>
      <c r="H277" s="133"/>
      <c r="I277" s="133"/>
      <c r="J277" s="133"/>
      <c r="K277" s="133"/>
      <c r="L277" s="133"/>
      <c r="M277" s="133"/>
      <c r="N277" s="133"/>
      <c r="O277" s="133"/>
      <c r="P277" s="133"/>
      <c r="Q277" s="154"/>
    </row>
    <row r="278" spans="7:17" s="45" customFormat="1" ht="13.8" x14ac:dyDescent="0.3">
      <c r="G278" s="133"/>
      <c r="H278" s="133"/>
      <c r="I278" s="133"/>
      <c r="J278" s="133"/>
      <c r="K278" s="133"/>
      <c r="L278" s="133"/>
      <c r="M278" s="133"/>
      <c r="N278" s="133"/>
      <c r="O278" s="133"/>
      <c r="P278" s="133"/>
      <c r="Q278" s="154"/>
    </row>
    <row r="279" spans="7:17" s="45" customFormat="1" ht="13.8" x14ac:dyDescent="0.3">
      <c r="G279" s="133"/>
      <c r="H279" s="133"/>
      <c r="I279" s="133"/>
      <c r="J279" s="133"/>
      <c r="K279" s="133"/>
      <c r="L279" s="133"/>
      <c r="M279" s="133"/>
      <c r="N279" s="133"/>
      <c r="O279" s="133"/>
      <c r="P279" s="133"/>
      <c r="Q279" s="154"/>
    </row>
    <row r="280" spans="7:17" s="45" customFormat="1" ht="13.8" x14ac:dyDescent="0.3">
      <c r="G280" s="133"/>
      <c r="H280" s="133"/>
      <c r="I280" s="133"/>
      <c r="J280" s="133"/>
      <c r="K280" s="133"/>
      <c r="L280" s="133"/>
      <c r="M280" s="133"/>
      <c r="N280" s="133"/>
      <c r="O280" s="133"/>
      <c r="P280" s="133"/>
      <c r="Q280" s="154"/>
    </row>
    <row r="281" spans="7:17" s="45" customFormat="1" ht="13.8" x14ac:dyDescent="0.3">
      <c r="G281" s="133"/>
      <c r="H281" s="133"/>
      <c r="I281" s="133"/>
      <c r="J281" s="133"/>
      <c r="K281" s="133"/>
      <c r="L281" s="133"/>
      <c r="M281" s="133"/>
      <c r="N281" s="133"/>
      <c r="O281" s="133"/>
      <c r="P281" s="133"/>
      <c r="Q281" s="154"/>
    </row>
    <row r="282" spans="7:17" s="45" customFormat="1" ht="13.8" x14ac:dyDescent="0.3">
      <c r="G282" s="133"/>
      <c r="H282" s="133"/>
      <c r="I282" s="133"/>
      <c r="J282" s="133"/>
      <c r="K282" s="133"/>
      <c r="L282" s="133"/>
      <c r="M282" s="133"/>
      <c r="N282" s="133"/>
      <c r="O282" s="133"/>
      <c r="P282" s="133"/>
      <c r="Q282" s="154"/>
    </row>
    <row r="283" spans="7:17" s="45" customFormat="1" ht="13.8" x14ac:dyDescent="0.3">
      <c r="G283" s="133"/>
      <c r="H283" s="133"/>
      <c r="I283" s="133"/>
      <c r="J283" s="133"/>
      <c r="K283" s="133"/>
      <c r="L283" s="133"/>
      <c r="M283" s="133"/>
      <c r="N283" s="133"/>
      <c r="O283" s="133"/>
      <c r="P283" s="133"/>
      <c r="Q283" s="154"/>
    </row>
    <row r="284" spans="7:17" s="45" customFormat="1" ht="13.8" x14ac:dyDescent="0.3">
      <c r="G284" s="133"/>
      <c r="H284" s="133"/>
      <c r="I284" s="133"/>
      <c r="J284" s="133"/>
      <c r="K284" s="133"/>
      <c r="L284" s="133"/>
      <c r="M284" s="133"/>
      <c r="N284" s="133"/>
      <c r="O284" s="133"/>
      <c r="P284" s="133"/>
      <c r="Q284" s="154"/>
    </row>
    <row r="285" spans="7:17" s="45" customFormat="1" ht="13.8" x14ac:dyDescent="0.3">
      <c r="G285" s="133"/>
      <c r="H285" s="133"/>
      <c r="I285" s="133"/>
      <c r="J285" s="133"/>
      <c r="K285" s="133"/>
      <c r="L285" s="133"/>
      <c r="M285" s="133"/>
      <c r="N285" s="133"/>
      <c r="O285" s="133"/>
      <c r="P285" s="133"/>
      <c r="Q285" s="154"/>
    </row>
    <row r="286" spans="7:17" s="45" customFormat="1" ht="13.8" x14ac:dyDescent="0.3">
      <c r="G286" s="133"/>
      <c r="H286" s="133"/>
      <c r="I286" s="133"/>
      <c r="J286" s="133"/>
      <c r="K286" s="133"/>
      <c r="L286" s="133"/>
      <c r="M286" s="133"/>
      <c r="N286" s="133"/>
      <c r="O286" s="133"/>
      <c r="P286" s="133"/>
      <c r="Q286" s="154"/>
    </row>
    <row r="287" spans="7:17" s="45" customFormat="1" ht="13.8" x14ac:dyDescent="0.3">
      <c r="G287" s="133"/>
      <c r="H287" s="133"/>
      <c r="I287" s="133"/>
      <c r="J287" s="133"/>
      <c r="K287" s="133"/>
      <c r="L287" s="133"/>
      <c r="M287" s="133"/>
      <c r="N287" s="133"/>
      <c r="O287" s="133"/>
      <c r="P287" s="133"/>
      <c r="Q287" s="154"/>
    </row>
    <row r="288" spans="7:17" s="45" customFormat="1" ht="13.8" x14ac:dyDescent="0.3">
      <c r="G288" s="133"/>
      <c r="H288" s="133"/>
      <c r="I288" s="133"/>
      <c r="J288" s="133"/>
      <c r="K288" s="133"/>
      <c r="L288" s="133"/>
      <c r="M288" s="133"/>
      <c r="N288" s="133"/>
      <c r="O288" s="133"/>
      <c r="P288" s="133"/>
      <c r="Q288" s="154"/>
    </row>
    <row r="289" spans="7:17" s="45" customFormat="1" ht="13.8" x14ac:dyDescent="0.3">
      <c r="G289" s="133"/>
      <c r="H289" s="133"/>
      <c r="I289" s="133"/>
      <c r="J289" s="133"/>
      <c r="K289" s="133"/>
      <c r="L289" s="133"/>
      <c r="M289" s="133"/>
      <c r="N289" s="133"/>
      <c r="O289" s="133"/>
      <c r="P289" s="133"/>
      <c r="Q289" s="154"/>
    </row>
    <row r="290" spans="7:17" s="45" customFormat="1" ht="13.8" x14ac:dyDescent="0.3">
      <c r="G290" s="133"/>
      <c r="H290" s="133"/>
      <c r="I290" s="133"/>
      <c r="J290" s="133"/>
      <c r="K290" s="133"/>
      <c r="L290" s="133"/>
      <c r="M290" s="133"/>
      <c r="N290" s="133"/>
      <c r="O290" s="133"/>
      <c r="P290" s="133"/>
      <c r="Q290" s="154"/>
    </row>
    <row r="291" spans="7:17" s="45" customFormat="1" ht="13.8" x14ac:dyDescent="0.3">
      <c r="G291" s="133"/>
      <c r="H291" s="133"/>
      <c r="I291" s="133"/>
      <c r="J291" s="133"/>
      <c r="K291" s="133"/>
      <c r="L291" s="133"/>
      <c r="M291" s="133"/>
      <c r="N291" s="133"/>
      <c r="O291" s="133"/>
      <c r="P291" s="133"/>
      <c r="Q291" s="154"/>
    </row>
    <row r="292" spans="7:17" s="45" customFormat="1" ht="13.8" x14ac:dyDescent="0.3">
      <c r="G292" s="133"/>
      <c r="H292" s="133"/>
      <c r="I292" s="133"/>
      <c r="J292" s="133"/>
      <c r="K292" s="133"/>
      <c r="L292" s="133"/>
      <c r="M292" s="133"/>
      <c r="N292" s="133"/>
      <c r="O292" s="133"/>
      <c r="P292" s="133"/>
      <c r="Q292" s="154"/>
    </row>
    <row r="293" spans="7:17" s="45" customFormat="1" ht="13.8" x14ac:dyDescent="0.3">
      <c r="G293" s="133"/>
      <c r="H293" s="133"/>
      <c r="I293" s="133"/>
      <c r="J293" s="133"/>
      <c r="K293" s="133"/>
      <c r="L293" s="133"/>
      <c r="M293" s="133"/>
      <c r="N293" s="133"/>
      <c r="O293" s="133"/>
      <c r="P293" s="133"/>
      <c r="Q293" s="154"/>
    </row>
    <row r="294" spans="7:17" s="45" customFormat="1" ht="13.8" x14ac:dyDescent="0.3">
      <c r="G294" s="133"/>
      <c r="H294" s="133"/>
      <c r="I294" s="133"/>
      <c r="J294" s="133"/>
      <c r="K294" s="133"/>
      <c r="L294" s="133"/>
      <c r="M294" s="133"/>
      <c r="N294" s="133"/>
      <c r="O294" s="133"/>
      <c r="P294" s="133"/>
      <c r="Q294" s="154"/>
    </row>
    <row r="295" spans="7:17" s="45" customFormat="1" ht="13.8" x14ac:dyDescent="0.3">
      <c r="G295" s="133"/>
      <c r="H295" s="133"/>
      <c r="I295" s="133"/>
      <c r="J295" s="133"/>
      <c r="K295" s="133"/>
      <c r="L295" s="133"/>
      <c r="M295" s="133"/>
      <c r="N295" s="133"/>
      <c r="O295" s="133"/>
      <c r="P295" s="133"/>
      <c r="Q295" s="154"/>
    </row>
    <row r="296" spans="7:17" s="45" customFormat="1" ht="13.8" x14ac:dyDescent="0.3">
      <c r="G296" s="133"/>
      <c r="H296" s="133"/>
      <c r="I296" s="133"/>
      <c r="J296" s="133"/>
      <c r="K296" s="133"/>
      <c r="L296" s="133"/>
      <c r="M296" s="133"/>
      <c r="N296" s="133"/>
      <c r="O296" s="133"/>
      <c r="P296" s="133"/>
      <c r="Q296" s="154"/>
    </row>
    <row r="297" spans="7:17" s="45" customFormat="1" ht="13.8" x14ac:dyDescent="0.3">
      <c r="G297" s="133"/>
      <c r="H297" s="133"/>
      <c r="I297" s="133"/>
      <c r="J297" s="133"/>
      <c r="K297" s="133"/>
      <c r="L297" s="133"/>
      <c r="M297" s="133"/>
      <c r="N297" s="133"/>
      <c r="O297" s="133"/>
      <c r="P297" s="133"/>
      <c r="Q297" s="154"/>
    </row>
    <row r="298" spans="7:17" s="45" customFormat="1" ht="13.8" x14ac:dyDescent="0.3">
      <c r="G298" s="133"/>
      <c r="H298" s="133"/>
      <c r="I298" s="133"/>
      <c r="J298" s="133"/>
      <c r="K298" s="133"/>
      <c r="L298" s="133"/>
      <c r="M298" s="133"/>
      <c r="N298" s="133"/>
      <c r="O298" s="133"/>
      <c r="P298" s="133"/>
      <c r="Q298" s="154"/>
    </row>
    <row r="299" spans="7:17" s="45" customFormat="1" ht="13.8" x14ac:dyDescent="0.3">
      <c r="G299" s="133"/>
      <c r="H299" s="133"/>
      <c r="I299" s="133"/>
      <c r="J299" s="133"/>
      <c r="K299" s="133"/>
      <c r="L299" s="133"/>
      <c r="M299" s="133"/>
      <c r="N299" s="133"/>
      <c r="O299" s="133"/>
      <c r="P299" s="133"/>
      <c r="Q299" s="154"/>
    </row>
    <row r="300" spans="7:17" s="45" customFormat="1" ht="13.8" x14ac:dyDescent="0.3">
      <c r="G300" s="133"/>
      <c r="H300" s="133"/>
      <c r="I300" s="133"/>
      <c r="J300" s="133"/>
      <c r="K300" s="133"/>
      <c r="L300" s="133"/>
      <c r="M300" s="133"/>
      <c r="N300" s="133"/>
      <c r="O300" s="133"/>
      <c r="P300" s="133"/>
      <c r="Q300" s="154"/>
    </row>
    <row r="301" spans="7:17" s="45" customFormat="1" ht="13.8" x14ac:dyDescent="0.3">
      <c r="G301" s="133"/>
      <c r="H301" s="133"/>
      <c r="I301" s="133"/>
      <c r="J301" s="133"/>
      <c r="K301" s="133"/>
      <c r="L301" s="133"/>
      <c r="M301" s="133"/>
      <c r="N301" s="133"/>
      <c r="O301" s="133"/>
      <c r="P301" s="133"/>
      <c r="Q301" s="154"/>
    </row>
    <row r="302" spans="7:17" s="45" customFormat="1" ht="13.8" x14ac:dyDescent="0.3">
      <c r="G302" s="133"/>
      <c r="H302" s="133"/>
      <c r="I302" s="133"/>
      <c r="J302" s="133"/>
      <c r="K302" s="133"/>
      <c r="L302" s="133"/>
      <c r="M302" s="133"/>
      <c r="N302" s="133"/>
      <c r="O302" s="133"/>
      <c r="P302" s="133"/>
      <c r="Q302" s="154"/>
    </row>
    <row r="303" spans="7:17" s="45" customFormat="1" ht="13.8" x14ac:dyDescent="0.3">
      <c r="G303" s="133"/>
      <c r="H303" s="133"/>
      <c r="I303" s="133"/>
      <c r="J303" s="133"/>
      <c r="K303" s="133"/>
      <c r="L303" s="133"/>
      <c r="M303" s="133"/>
      <c r="N303" s="133"/>
      <c r="O303" s="133"/>
      <c r="P303" s="133"/>
      <c r="Q303" s="154"/>
    </row>
    <row r="304" spans="7:17" s="45" customFormat="1" ht="13.8" x14ac:dyDescent="0.3">
      <c r="G304" s="133"/>
      <c r="H304" s="133"/>
      <c r="I304" s="133"/>
      <c r="J304" s="133"/>
      <c r="K304" s="133"/>
      <c r="L304" s="133"/>
      <c r="M304" s="133"/>
      <c r="N304" s="133"/>
      <c r="O304" s="133"/>
      <c r="P304" s="133"/>
      <c r="Q304" s="154"/>
    </row>
    <row r="305" spans="7:17" s="45" customFormat="1" ht="13.8" x14ac:dyDescent="0.3">
      <c r="G305" s="133"/>
      <c r="H305" s="133"/>
      <c r="I305" s="133"/>
      <c r="J305" s="133"/>
      <c r="K305" s="133"/>
      <c r="L305" s="133"/>
      <c r="M305" s="133"/>
      <c r="N305" s="133"/>
      <c r="O305" s="133"/>
      <c r="P305" s="133"/>
      <c r="Q305" s="154"/>
    </row>
    <row r="306" spans="7:17" s="45" customFormat="1" ht="13.8" x14ac:dyDescent="0.3">
      <c r="G306" s="133"/>
      <c r="H306" s="133"/>
      <c r="I306" s="133"/>
      <c r="J306" s="133"/>
      <c r="K306" s="133"/>
      <c r="L306" s="133"/>
      <c r="M306" s="133"/>
      <c r="N306" s="133"/>
      <c r="O306" s="133"/>
      <c r="P306" s="133"/>
      <c r="Q306" s="154"/>
    </row>
    <row r="307" spans="7:17" s="45" customFormat="1" ht="13.8" x14ac:dyDescent="0.3">
      <c r="G307" s="133"/>
      <c r="H307" s="133"/>
      <c r="I307" s="133"/>
      <c r="J307" s="133"/>
      <c r="K307" s="133"/>
      <c r="L307" s="133"/>
      <c r="M307" s="133"/>
      <c r="N307" s="133"/>
      <c r="O307" s="133"/>
      <c r="P307" s="133"/>
      <c r="Q307" s="154"/>
    </row>
    <row r="308" spans="7:17" s="45" customFormat="1" ht="13.8" x14ac:dyDescent="0.3">
      <c r="G308" s="133"/>
      <c r="H308" s="133"/>
      <c r="I308" s="133"/>
      <c r="J308" s="133"/>
      <c r="K308" s="133"/>
      <c r="L308" s="133"/>
      <c r="M308" s="133"/>
      <c r="N308" s="133"/>
      <c r="O308" s="133"/>
      <c r="P308" s="133"/>
      <c r="Q308" s="154"/>
    </row>
    <row r="309" spans="7:17" s="45" customFormat="1" ht="13.8" x14ac:dyDescent="0.3">
      <c r="G309" s="133"/>
      <c r="H309" s="133"/>
      <c r="I309" s="133"/>
      <c r="J309" s="133"/>
      <c r="K309" s="133"/>
      <c r="L309" s="133"/>
      <c r="M309" s="133"/>
      <c r="N309" s="133"/>
      <c r="O309" s="133"/>
      <c r="P309" s="133"/>
      <c r="Q309" s="154"/>
    </row>
    <row r="310" spans="7:17" s="45" customFormat="1" ht="13.8" x14ac:dyDescent="0.3">
      <c r="G310" s="133"/>
      <c r="H310" s="133"/>
      <c r="I310" s="133"/>
      <c r="J310" s="133"/>
      <c r="K310" s="133"/>
      <c r="L310" s="133"/>
      <c r="M310" s="133"/>
      <c r="N310" s="133"/>
      <c r="O310" s="133"/>
      <c r="P310" s="133"/>
      <c r="Q310" s="154"/>
    </row>
    <row r="311" spans="7:17" s="45" customFormat="1" ht="13.8" x14ac:dyDescent="0.3">
      <c r="G311" s="133"/>
      <c r="H311" s="133"/>
      <c r="I311" s="133"/>
      <c r="J311" s="133"/>
      <c r="K311" s="133"/>
      <c r="L311" s="133"/>
      <c r="M311" s="133"/>
      <c r="N311" s="133"/>
      <c r="O311" s="133"/>
      <c r="P311" s="133"/>
      <c r="Q311" s="154"/>
    </row>
    <row r="312" spans="7:17" s="45" customFormat="1" ht="13.8" x14ac:dyDescent="0.3">
      <c r="G312" s="133"/>
      <c r="H312" s="133"/>
      <c r="I312" s="133"/>
      <c r="J312" s="133"/>
      <c r="K312" s="133"/>
      <c r="L312" s="133"/>
      <c r="M312" s="133"/>
      <c r="N312" s="133"/>
      <c r="O312" s="133"/>
      <c r="P312" s="133"/>
      <c r="Q312" s="154"/>
    </row>
    <row r="313" spans="7:17" s="45" customFormat="1" ht="13.8" x14ac:dyDescent="0.3">
      <c r="G313" s="133"/>
      <c r="H313" s="133"/>
      <c r="I313" s="133"/>
      <c r="J313" s="133"/>
      <c r="K313" s="133"/>
      <c r="L313" s="133"/>
      <c r="M313" s="133"/>
      <c r="N313" s="133"/>
      <c r="O313" s="133"/>
      <c r="P313" s="133"/>
      <c r="Q313" s="154"/>
    </row>
    <row r="314" spans="7:17" s="45" customFormat="1" ht="13.8" x14ac:dyDescent="0.3">
      <c r="G314" s="133"/>
      <c r="H314" s="133"/>
      <c r="I314" s="133"/>
      <c r="J314" s="133"/>
      <c r="K314" s="133"/>
      <c r="L314" s="133"/>
      <c r="M314" s="133"/>
      <c r="N314" s="133"/>
      <c r="O314" s="133"/>
      <c r="P314" s="133"/>
      <c r="Q314" s="154"/>
    </row>
    <row r="315" spans="7:17" s="45" customFormat="1" ht="13.8" x14ac:dyDescent="0.3">
      <c r="G315" s="133"/>
      <c r="H315" s="133"/>
      <c r="I315" s="133"/>
      <c r="J315" s="133"/>
      <c r="K315" s="133"/>
      <c r="L315" s="133"/>
      <c r="M315" s="133"/>
      <c r="N315" s="133"/>
      <c r="O315" s="133"/>
      <c r="P315" s="133"/>
      <c r="Q315" s="154"/>
    </row>
    <row r="316" spans="7:17" s="45" customFormat="1" ht="13.8" x14ac:dyDescent="0.3">
      <c r="G316" s="133"/>
      <c r="H316" s="133"/>
      <c r="I316" s="133"/>
      <c r="J316" s="133"/>
      <c r="K316" s="133"/>
      <c r="L316" s="133"/>
      <c r="M316" s="133"/>
      <c r="N316" s="133"/>
      <c r="O316" s="133"/>
      <c r="P316" s="133"/>
      <c r="Q316" s="154"/>
    </row>
    <row r="317" spans="7:17" s="45" customFormat="1" ht="13.8" x14ac:dyDescent="0.3">
      <c r="G317" s="133"/>
      <c r="H317" s="133"/>
      <c r="I317" s="133"/>
      <c r="J317" s="133"/>
      <c r="K317" s="133"/>
      <c r="L317" s="133"/>
      <c r="M317" s="133"/>
      <c r="N317" s="133"/>
      <c r="O317" s="133"/>
      <c r="P317" s="133"/>
      <c r="Q317" s="154"/>
    </row>
    <row r="318" spans="7:17" s="45" customFormat="1" ht="13.8" x14ac:dyDescent="0.3">
      <c r="G318" s="133"/>
      <c r="H318" s="133"/>
      <c r="I318" s="133"/>
      <c r="J318" s="133"/>
      <c r="K318" s="133"/>
      <c r="L318" s="133"/>
      <c r="M318" s="133"/>
      <c r="N318" s="133"/>
      <c r="O318" s="133"/>
      <c r="P318" s="133"/>
      <c r="Q318" s="154"/>
    </row>
    <row r="319" spans="7:17" s="45" customFormat="1" ht="13.8" x14ac:dyDescent="0.3">
      <c r="G319" s="133"/>
      <c r="H319" s="133"/>
      <c r="I319" s="133"/>
      <c r="J319" s="133"/>
      <c r="K319" s="133"/>
      <c r="L319" s="133"/>
      <c r="M319" s="133"/>
      <c r="N319" s="133"/>
      <c r="O319" s="133"/>
      <c r="P319" s="133"/>
      <c r="Q319" s="154"/>
    </row>
    <row r="320" spans="7:17" s="45" customFormat="1" ht="13.8" x14ac:dyDescent="0.3">
      <c r="G320" s="133"/>
      <c r="H320" s="133"/>
      <c r="I320" s="133"/>
      <c r="J320" s="133"/>
      <c r="K320" s="133"/>
      <c r="L320" s="133"/>
      <c r="M320" s="133"/>
      <c r="N320" s="133"/>
      <c r="O320" s="133"/>
      <c r="P320" s="133"/>
      <c r="Q320" s="154"/>
    </row>
    <row r="321" spans="7:17" s="45" customFormat="1" ht="13.8" x14ac:dyDescent="0.3">
      <c r="G321" s="133"/>
      <c r="H321" s="133"/>
      <c r="I321" s="133"/>
      <c r="J321" s="133"/>
      <c r="K321" s="133"/>
      <c r="L321" s="133"/>
      <c r="M321" s="133"/>
      <c r="N321" s="133"/>
      <c r="O321" s="133"/>
      <c r="P321" s="133"/>
      <c r="Q321" s="154"/>
    </row>
    <row r="322" spans="7:17" s="45" customFormat="1" ht="13.8" x14ac:dyDescent="0.3">
      <c r="G322" s="133"/>
      <c r="H322" s="133"/>
      <c r="I322" s="133"/>
      <c r="J322" s="133"/>
      <c r="K322" s="133"/>
      <c r="L322" s="133"/>
      <c r="M322" s="133"/>
      <c r="N322" s="133"/>
      <c r="O322" s="133"/>
      <c r="P322" s="133"/>
      <c r="Q322" s="154"/>
    </row>
    <row r="323" spans="7:17" s="45" customFormat="1" ht="13.8" x14ac:dyDescent="0.3">
      <c r="G323" s="133"/>
      <c r="H323" s="133"/>
      <c r="I323" s="133"/>
      <c r="J323" s="133"/>
      <c r="K323" s="133"/>
      <c r="L323" s="133"/>
      <c r="M323" s="133"/>
      <c r="N323" s="133"/>
      <c r="O323" s="133"/>
      <c r="P323" s="133"/>
      <c r="Q323" s="154"/>
    </row>
    <row r="324" spans="7:17" s="45" customFormat="1" ht="13.8" x14ac:dyDescent="0.3">
      <c r="G324" s="133"/>
      <c r="H324" s="133"/>
      <c r="I324" s="133"/>
      <c r="J324" s="133"/>
      <c r="K324" s="133"/>
      <c r="L324" s="133"/>
      <c r="M324" s="133"/>
      <c r="N324" s="133"/>
      <c r="O324" s="133"/>
      <c r="P324" s="133"/>
      <c r="Q324" s="154"/>
    </row>
    <row r="325" spans="7:17" s="45" customFormat="1" ht="13.8" x14ac:dyDescent="0.3">
      <c r="G325" s="133"/>
      <c r="H325" s="133"/>
      <c r="I325" s="133"/>
      <c r="J325" s="133"/>
      <c r="K325" s="133"/>
      <c r="L325" s="133"/>
      <c r="M325" s="133"/>
      <c r="N325" s="133"/>
      <c r="O325" s="133"/>
      <c r="P325" s="133"/>
      <c r="Q325" s="154"/>
    </row>
    <row r="326" spans="7:17" s="45" customFormat="1" ht="13.8" x14ac:dyDescent="0.3">
      <c r="G326" s="133"/>
      <c r="H326" s="133"/>
      <c r="I326" s="133"/>
      <c r="J326" s="133"/>
      <c r="K326" s="133"/>
      <c r="L326" s="133"/>
      <c r="M326" s="133"/>
      <c r="N326" s="133"/>
      <c r="O326" s="133"/>
      <c r="P326" s="133"/>
      <c r="Q326" s="154"/>
    </row>
    <row r="327" spans="7:17" s="45" customFormat="1" ht="13.8" x14ac:dyDescent="0.3">
      <c r="G327" s="133"/>
      <c r="H327" s="133"/>
      <c r="I327" s="133"/>
      <c r="J327" s="133"/>
      <c r="K327" s="133"/>
      <c r="L327" s="133"/>
      <c r="M327" s="133"/>
      <c r="N327" s="133"/>
      <c r="O327" s="133"/>
      <c r="P327" s="133"/>
      <c r="Q327" s="154"/>
    </row>
    <row r="328" spans="7:17" s="45" customFormat="1" ht="13.8" x14ac:dyDescent="0.3">
      <c r="G328" s="133"/>
      <c r="H328" s="133"/>
      <c r="I328" s="133"/>
      <c r="J328" s="133"/>
      <c r="K328" s="133"/>
      <c r="L328" s="133"/>
      <c r="M328" s="133"/>
      <c r="N328" s="133"/>
      <c r="O328" s="133"/>
      <c r="P328" s="133"/>
      <c r="Q328" s="154"/>
    </row>
    <row r="329" spans="7:17" s="45" customFormat="1" ht="13.8" x14ac:dyDescent="0.3">
      <c r="G329" s="133"/>
      <c r="H329" s="133"/>
      <c r="I329" s="133"/>
      <c r="J329" s="133"/>
      <c r="K329" s="133"/>
      <c r="L329" s="133"/>
      <c r="M329" s="133"/>
      <c r="N329" s="133"/>
      <c r="O329" s="133"/>
      <c r="P329" s="133"/>
      <c r="Q329" s="154"/>
    </row>
    <row r="330" spans="7:17" s="45" customFormat="1" ht="13.8" x14ac:dyDescent="0.3">
      <c r="G330" s="133"/>
      <c r="H330" s="133"/>
      <c r="I330" s="133"/>
      <c r="J330" s="133"/>
      <c r="K330" s="133"/>
      <c r="L330" s="133"/>
      <c r="M330" s="133"/>
      <c r="N330" s="133"/>
      <c r="O330" s="133"/>
      <c r="P330" s="133"/>
      <c r="Q330" s="154"/>
    </row>
    <row r="331" spans="7:17" s="45" customFormat="1" ht="13.8" x14ac:dyDescent="0.3">
      <c r="G331" s="133"/>
      <c r="H331" s="133"/>
      <c r="I331" s="133"/>
      <c r="J331" s="133"/>
      <c r="K331" s="133"/>
      <c r="L331" s="133"/>
      <c r="M331" s="133"/>
      <c r="N331" s="133"/>
      <c r="O331" s="133"/>
      <c r="P331" s="133"/>
      <c r="Q331" s="154"/>
    </row>
    <row r="332" spans="7:17" s="45" customFormat="1" ht="13.8" x14ac:dyDescent="0.3">
      <c r="G332" s="133"/>
      <c r="H332" s="133"/>
      <c r="I332" s="133"/>
      <c r="J332" s="133"/>
      <c r="K332" s="133"/>
      <c r="L332" s="133"/>
      <c r="M332" s="133"/>
      <c r="N332" s="133"/>
      <c r="O332" s="133"/>
      <c r="P332" s="133"/>
      <c r="Q332" s="154"/>
    </row>
    <row r="333" spans="7:17" s="45" customFormat="1" ht="13.8" x14ac:dyDescent="0.3">
      <c r="G333" s="133"/>
      <c r="H333" s="133"/>
      <c r="I333" s="133"/>
      <c r="J333" s="133"/>
      <c r="K333" s="133"/>
      <c r="L333" s="133"/>
      <c r="M333" s="133"/>
      <c r="N333" s="133"/>
      <c r="O333" s="133"/>
      <c r="P333" s="133"/>
      <c r="Q333" s="154"/>
    </row>
    <row r="334" spans="7:17" s="45" customFormat="1" ht="13.8" x14ac:dyDescent="0.3">
      <c r="G334" s="133"/>
      <c r="H334" s="133"/>
      <c r="I334" s="133"/>
      <c r="J334" s="133"/>
      <c r="K334" s="133"/>
      <c r="L334" s="133"/>
      <c r="M334" s="133"/>
      <c r="N334" s="133"/>
      <c r="O334" s="133"/>
      <c r="P334" s="133"/>
      <c r="Q334" s="154"/>
    </row>
    <row r="335" spans="7:17" s="45" customFormat="1" ht="13.8" x14ac:dyDescent="0.3">
      <c r="G335" s="133"/>
      <c r="H335" s="133"/>
      <c r="I335" s="133"/>
      <c r="J335" s="133"/>
      <c r="K335" s="133"/>
      <c r="L335" s="133"/>
      <c r="M335" s="133"/>
      <c r="N335" s="133"/>
      <c r="O335" s="133"/>
      <c r="P335" s="133"/>
      <c r="Q335" s="154"/>
    </row>
    <row r="336" spans="7:17" s="45" customFormat="1" ht="13.8" x14ac:dyDescent="0.3">
      <c r="G336" s="133"/>
      <c r="H336" s="133"/>
      <c r="I336" s="133"/>
      <c r="J336" s="133"/>
      <c r="K336" s="133"/>
      <c r="L336" s="133"/>
      <c r="M336" s="133"/>
      <c r="N336" s="133"/>
      <c r="O336" s="133"/>
      <c r="P336" s="133"/>
      <c r="Q336" s="154"/>
    </row>
    <row r="337" spans="7:17" s="45" customFormat="1" ht="13.8" x14ac:dyDescent="0.3">
      <c r="G337" s="133"/>
      <c r="H337" s="133"/>
      <c r="I337" s="133"/>
      <c r="J337" s="133"/>
      <c r="K337" s="133"/>
      <c r="L337" s="133"/>
      <c r="M337" s="133"/>
      <c r="N337" s="133"/>
      <c r="O337" s="133"/>
      <c r="P337" s="133"/>
      <c r="Q337" s="154"/>
    </row>
    <row r="338" spans="7:17" s="45" customFormat="1" ht="13.8" x14ac:dyDescent="0.3">
      <c r="G338" s="133"/>
      <c r="H338" s="133"/>
      <c r="I338" s="133"/>
      <c r="J338" s="133"/>
      <c r="K338" s="133"/>
      <c r="L338" s="133"/>
      <c r="M338" s="133"/>
      <c r="N338" s="133"/>
      <c r="O338" s="133"/>
      <c r="P338" s="133"/>
      <c r="Q338" s="154"/>
    </row>
    <row r="339" spans="7:17" s="45" customFormat="1" ht="13.8" x14ac:dyDescent="0.3">
      <c r="G339" s="133"/>
      <c r="H339" s="133"/>
      <c r="I339" s="133"/>
      <c r="J339" s="133"/>
      <c r="K339" s="133"/>
      <c r="L339" s="133"/>
      <c r="M339" s="133"/>
      <c r="N339" s="133"/>
      <c r="O339" s="133"/>
      <c r="P339" s="133"/>
      <c r="Q339" s="154"/>
    </row>
    <row r="340" spans="7:17" s="45" customFormat="1" ht="13.8" x14ac:dyDescent="0.3">
      <c r="G340" s="133"/>
      <c r="H340" s="133"/>
      <c r="I340" s="133"/>
      <c r="J340" s="133"/>
      <c r="K340" s="133"/>
      <c r="L340" s="133"/>
      <c r="M340" s="133"/>
      <c r="N340" s="133"/>
      <c r="O340" s="133"/>
      <c r="P340" s="133"/>
      <c r="Q340" s="154"/>
    </row>
    <row r="341" spans="7:17" s="45" customFormat="1" ht="13.8" x14ac:dyDescent="0.3">
      <c r="G341" s="133"/>
      <c r="H341" s="133"/>
      <c r="I341" s="133"/>
      <c r="J341" s="133"/>
      <c r="K341" s="133"/>
      <c r="L341" s="133"/>
      <c r="M341" s="133"/>
      <c r="N341" s="133"/>
      <c r="O341" s="133"/>
      <c r="P341" s="133"/>
      <c r="Q341" s="154"/>
    </row>
    <row r="342" spans="7:17" s="45" customFormat="1" ht="13.8" x14ac:dyDescent="0.3">
      <c r="G342" s="133"/>
      <c r="H342" s="133"/>
      <c r="I342" s="133"/>
      <c r="J342" s="133"/>
      <c r="K342" s="133"/>
      <c r="L342" s="133"/>
      <c r="M342" s="133"/>
      <c r="N342" s="133"/>
      <c r="O342" s="133"/>
      <c r="P342" s="133"/>
      <c r="Q342" s="154"/>
    </row>
    <row r="343" spans="7:17" s="45" customFormat="1" ht="13.8" x14ac:dyDescent="0.3">
      <c r="G343" s="133"/>
      <c r="H343" s="133"/>
      <c r="I343" s="133"/>
      <c r="J343" s="133"/>
      <c r="K343" s="133"/>
      <c r="L343" s="133"/>
      <c r="M343" s="133"/>
      <c r="N343" s="133"/>
      <c r="O343" s="133"/>
      <c r="P343" s="133"/>
      <c r="Q343" s="154"/>
    </row>
    <row r="344" spans="7:17" s="45" customFormat="1" ht="13.8" x14ac:dyDescent="0.3">
      <c r="G344" s="133"/>
      <c r="H344" s="133"/>
      <c r="I344" s="133"/>
      <c r="J344" s="133"/>
      <c r="K344" s="133"/>
      <c r="L344" s="133"/>
      <c r="M344" s="133"/>
      <c r="N344" s="133"/>
      <c r="O344" s="133"/>
      <c r="P344" s="133"/>
      <c r="Q344" s="154"/>
    </row>
    <row r="345" spans="7:17" s="45" customFormat="1" ht="13.8" x14ac:dyDescent="0.3">
      <c r="G345" s="133"/>
      <c r="H345" s="133"/>
      <c r="I345" s="133"/>
      <c r="J345" s="133"/>
      <c r="K345" s="133"/>
      <c r="L345" s="133"/>
      <c r="M345" s="133"/>
      <c r="N345" s="133"/>
      <c r="O345" s="133"/>
      <c r="P345" s="133"/>
      <c r="Q345" s="154"/>
    </row>
    <row r="346" spans="7:17" s="45" customFormat="1" ht="13.8" x14ac:dyDescent="0.3">
      <c r="G346" s="133"/>
      <c r="H346" s="133"/>
      <c r="I346" s="133"/>
      <c r="J346" s="133"/>
      <c r="K346" s="133"/>
      <c r="L346" s="133"/>
      <c r="M346" s="133"/>
      <c r="N346" s="133"/>
      <c r="O346" s="133"/>
      <c r="P346" s="133"/>
      <c r="Q346" s="154"/>
    </row>
    <row r="347" spans="7:17" s="45" customFormat="1" ht="13.8" x14ac:dyDescent="0.3">
      <c r="G347" s="133"/>
      <c r="H347" s="133"/>
      <c r="I347" s="133"/>
      <c r="J347" s="133"/>
      <c r="K347" s="133"/>
      <c r="L347" s="133"/>
      <c r="M347" s="133"/>
      <c r="N347" s="133"/>
      <c r="O347" s="133"/>
      <c r="P347" s="133"/>
      <c r="Q347" s="154"/>
    </row>
    <row r="348" spans="7:17" s="45" customFormat="1" ht="13.8" x14ac:dyDescent="0.3">
      <c r="G348" s="133"/>
      <c r="H348" s="133"/>
      <c r="I348" s="133"/>
      <c r="J348" s="133"/>
      <c r="K348" s="133"/>
      <c r="L348" s="133"/>
      <c r="M348" s="133"/>
      <c r="N348" s="133"/>
      <c r="O348" s="133"/>
      <c r="P348" s="133"/>
      <c r="Q348" s="154"/>
    </row>
    <row r="349" spans="7:17" s="45" customFormat="1" ht="13.8" x14ac:dyDescent="0.3">
      <c r="G349" s="133"/>
      <c r="H349" s="133"/>
      <c r="I349" s="133"/>
      <c r="J349" s="133"/>
      <c r="K349" s="133"/>
      <c r="L349" s="133"/>
      <c r="M349" s="133"/>
      <c r="N349" s="133"/>
      <c r="O349" s="133"/>
      <c r="P349" s="133"/>
      <c r="Q349" s="154"/>
    </row>
    <row r="350" spans="7:17" s="45" customFormat="1" ht="13.8" x14ac:dyDescent="0.3">
      <c r="G350" s="133"/>
      <c r="H350" s="133"/>
      <c r="I350" s="133"/>
      <c r="J350" s="133"/>
      <c r="K350" s="133"/>
      <c r="L350" s="133"/>
      <c r="M350" s="133"/>
      <c r="N350" s="133"/>
      <c r="O350" s="133"/>
      <c r="P350" s="133"/>
      <c r="Q350" s="154"/>
    </row>
    <row r="351" spans="7:17" s="45" customFormat="1" ht="13.8" x14ac:dyDescent="0.3">
      <c r="G351" s="133"/>
      <c r="H351" s="133"/>
      <c r="I351" s="133"/>
      <c r="J351" s="133"/>
      <c r="K351" s="133"/>
      <c r="L351" s="133"/>
      <c r="M351" s="133"/>
      <c r="N351" s="133"/>
      <c r="O351" s="133"/>
      <c r="P351" s="133"/>
      <c r="Q351" s="154"/>
    </row>
    <row r="352" spans="7:17" s="45" customFormat="1" ht="13.8" x14ac:dyDescent="0.3">
      <c r="G352" s="133"/>
      <c r="H352" s="133"/>
      <c r="I352" s="133"/>
      <c r="J352" s="133"/>
      <c r="K352" s="133"/>
      <c r="L352" s="133"/>
      <c r="M352" s="133"/>
      <c r="N352" s="133"/>
      <c r="O352" s="133"/>
      <c r="P352" s="133"/>
      <c r="Q352" s="154"/>
    </row>
    <row r="353" spans="7:17" s="45" customFormat="1" ht="13.8" x14ac:dyDescent="0.3">
      <c r="G353" s="133"/>
      <c r="H353" s="133"/>
      <c r="I353" s="133"/>
      <c r="J353" s="133"/>
      <c r="K353" s="133"/>
      <c r="L353" s="133"/>
      <c r="M353" s="133"/>
      <c r="N353" s="133"/>
      <c r="O353" s="133"/>
      <c r="P353" s="133"/>
      <c r="Q353" s="154"/>
    </row>
    <row r="354" spans="7:17" s="45" customFormat="1" ht="13.8" x14ac:dyDescent="0.3">
      <c r="G354" s="133"/>
      <c r="H354" s="133"/>
      <c r="I354" s="133"/>
      <c r="J354" s="133"/>
      <c r="K354" s="133"/>
      <c r="L354" s="133"/>
      <c r="M354" s="133"/>
      <c r="N354" s="133"/>
      <c r="O354" s="133"/>
      <c r="P354" s="133"/>
      <c r="Q354" s="154"/>
    </row>
    <row r="355" spans="7:17" s="45" customFormat="1" ht="13.8" x14ac:dyDescent="0.3">
      <c r="G355" s="133"/>
      <c r="H355" s="133"/>
      <c r="I355" s="133"/>
      <c r="J355" s="133"/>
      <c r="K355" s="133"/>
      <c r="L355" s="133"/>
      <c r="M355" s="133"/>
      <c r="N355" s="133"/>
      <c r="O355" s="133"/>
      <c r="P355" s="133"/>
      <c r="Q355" s="154"/>
    </row>
    <row r="356" spans="7:17" s="45" customFormat="1" ht="13.8" x14ac:dyDescent="0.3">
      <c r="G356" s="133"/>
      <c r="H356" s="133"/>
      <c r="I356" s="133"/>
      <c r="J356" s="133"/>
      <c r="K356" s="133"/>
      <c r="L356" s="133"/>
      <c r="M356" s="133"/>
      <c r="N356" s="133"/>
      <c r="O356" s="133"/>
      <c r="P356" s="133"/>
      <c r="Q356" s="154"/>
    </row>
    <row r="357" spans="7:17" s="45" customFormat="1" ht="13.8" x14ac:dyDescent="0.3">
      <c r="G357" s="133"/>
      <c r="H357" s="133"/>
      <c r="I357" s="133"/>
      <c r="J357" s="133"/>
      <c r="K357" s="133"/>
      <c r="L357" s="133"/>
      <c r="M357" s="133"/>
      <c r="N357" s="133"/>
      <c r="O357" s="133"/>
      <c r="P357" s="133"/>
      <c r="Q357" s="154"/>
    </row>
    <row r="358" spans="7:17" s="45" customFormat="1" ht="13.8" x14ac:dyDescent="0.3">
      <c r="G358" s="133"/>
      <c r="H358" s="133"/>
      <c r="I358" s="133"/>
      <c r="J358" s="133"/>
      <c r="K358" s="133"/>
      <c r="L358" s="133"/>
      <c r="M358" s="133"/>
      <c r="N358" s="133"/>
      <c r="O358" s="133"/>
      <c r="P358" s="133"/>
      <c r="Q358" s="154"/>
    </row>
    <row r="359" spans="7:17" s="45" customFormat="1" ht="13.8" x14ac:dyDescent="0.3">
      <c r="G359" s="133"/>
      <c r="H359" s="133"/>
      <c r="I359" s="133"/>
      <c r="J359" s="133"/>
      <c r="K359" s="133"/>
      <c r="L359" s="133"/>
      <c r="M359" s="133"/>
      <c r="N359" s="133"/>
      <c r="O359" s="133"/>
      <c r="P359" s="133"/>
      <c r="Q359" s="154"/>
    </row>
    <row r="360" spans="7:17" s="45" customFormat="1" ht="13.8" x14ac:dyDescent="0.3">
      <c r="G360" s="133"/>
      <c r="H360" s="133"/>
      <c r="I360" s="133"/>
      <c r="J360" s="133"/>
      <c r="K360" s="133"/>
      <c r="L360" s="133"/>
      <c r="M360" s="133"/>
      <c r="N360" s="133"/>
      <c r="O360" s="133"/>
      <c r="P360" s="133"/>
      <c r="Q360" s="154"/>
    </row>
    <row r="361" spans="7:17" s="45" customFormat="1" ht="13.8" x14ac:dyDescent="0.3">
      <c r="G361" s="133"/>
      <c r="H361" s="133"/>
      <c r="I361" s="133"/>
      <c r="J361" s="133"/>
      <c r="K361" s="133"/>
      <c r="L361" s="133"/>
      <c r="M361" s="133"/>
      <c r="N361" s="133"/>
      <c r="O361" s="133"/>
      <c r="P361" s="133"/>
      <c r="Q361" s="154"/>
    </row>
    <row r="362" spans="7:17" s="45" customFormat="1" ht="13.8" x14ac:dyDescent="0.3">
      <c r="G362" s="133"/>
      <c r="H362" s="133"/>
      <c r="I362" s="133"/>
      <c r="J362" s="133"/>
      <c r="K362" s="133"/>
      <c r="L362" s="133"/>
      <c r="M362" s="133"/>
      <c r="N362" s="133"/>
      <c r="O362" s="133"/>
      <c r="P362" s="133"/>
      <c r="Q362" s="154"/>
    </row>
    <row r="363" spans="7:17" s="45" customFormat="1" ht="13.8" x14ac:dyDescent="0.3">
      <c r="G363" s="133"/>
      <c r="H363" s="133"/>
      <c r="I363" s="133"/>
      <c r="J363" s="133"/>
      <c r="K363" s="133"/>
      <c r="L363" s="133"/>
      <c r="M363" s="133"/>
      <c r="N363" s="133"/>
      <c r="O363" s="133"/>
      <c r="P363" s="133"/>
      <c r="Q363" s="154"/>
    </row>
    <row r="364" spans="7:17" s="45" customFormat="1" ht="13.8" x14ac:dyDescent="0.3">
      <c r="G364" s="133"/>
      <c r="H364" s="133"/>
      <c r="I364" s="133"/>
      <c r="J364" s="133"/>
      <c r="K364" s="133"/>
      <c r="L364" s="133"/>
      <c r="M364" s="133"/>
      <c r="N364" s="133"/>
      <c r="O364" s="133"/>
      <c r="P364" s="133"/>
      <c r="Q364" s="154"/>
    </row>
    <row r="365" spans="7:17" s="45" customFormat="1" ht="13.8" x14ac:dyDescent="0.3">
      <c r="G365" s="133"/>
      <c r="H365" s="133"/>
      <c r="I365" s="133"/>
      <c r="J365" s="133"/>
      <c r="K365" s="133"/>
      <c r="L365" s="133"/>
      <c r="M365" s="133"/>
      <c r="N365" s="133"/>
      <c r="O365" s="133"/>
      <c r="P365" s="133"/>
      <c r="Q365" s="154"/>
    </row>
    <row r="366" spans="7:17" s="45" customFormat="1" ht="13.8" x14ac:dyDescent="0.3">
      <c r="G366" s="133"/>
      <c r="H366" s="133"/>
      <c r="I366" s="133"/>
      <c r="J366" s="133"/>
      <c r="K366" s="133"/>
      <c r="L366" s="133"/>
      <c r="M366" s="133"/>
      <c r="N366" s="133"/>
      <c r="O366" s="133"/>
      <c r="P366" s="133"/>
      <c r="Q366" s="154"/>
    </row>
    <row r="367" spans="7:17" s="45" customFormat="1" ht="13.8" x14ac:dyDescent="0.3">
      <c r="G367" s="133"/>
      <c r="H367" s="133"/>
      <c r="I367" s="133"/>
      <c r="J367" s="133"/>
      <c r="K367" s="133"/>
      <c r="L367" s="133"/>
      <c r="M367" s="133"/>
      <c r="N367" s="133"/>
      <c r="O367" s="133"/>
      <c r="P367" s="133"/>
      <c r="Q367" s="154"/>
    </row>
    <row r="368" spans="7:17" s="45" customFormat="1" ht="13.8" x14ac:dyDescent="0.3">
      <c r="G368" s="133"/>
      <c r="H368" s="133"/>
      <c r="I368" s="133"/>
      <c r="J368" s="133"/>
      <c r="K368" s="133"/>
      <c r="L368" s="133"/>
      <c r="M368" s="133"/>
      <c r="N368" s="133"/>
      <c r="O368" s="133"/>
      <c r="P368" s="133"/>
      <c r="Q368" s="154"/>
    </row>
    <row r="369" spans="7:17" s="45" customFormat="1" ht="13.8" x14ac:dyDescent="0.3">
      <c r="G369" s="133"/>
      <c r="H369" s="133"/>
      <c r="I369" s="133"/>
      <c r="J369" s="133"/>
      <c r="K369" s="133"/>
      <c r="L369" s="133"/>
      <c r="M369" s="133"/>
      <c r="N369" s="133"/>
      <c r="O369" s="133"/>
      <c r="P369" s="133"/>
      <c r="Q369" s="154"/>
    </row>
    <row r="370" spans="7:17" s="45" customFormat="1" ht="13.8" x14ac:dyDescent="0.3">
      <c r="G370" s="133"/>
      <c r="H370" s="133"/>
      <c r="I370" s="133"/>
      <c r="J370" s="133"/>
      <c r="K370" s="133"/>
      <c r="L370" s="133"/>
      <c r="M370" s="133"/>
      <c r="N370" s="133"/>
      <c r="O370" s="133"/>
      <c r="P370" s="133"/>
      <c r="Q370" s="154"/>
    </row>
    <row r="371" spans="7:17" s="45" customFormat="1" ht="13.8" x14ac:dyDescent="0.3">
      <c r="G371" s="133"/>
      <c r="H371" s="133"/>
      <c r="I371" s="133"/>
      <c r="J371" s="133"/>
      <c r="K371" s="133"/>
      <c r="L371" s="133"/>
      <c r="M371" s="133"/>
      <c r="N371" s="133"/>
      <c r="O371" s="133"/>
      <c r="P371" s="133"/>
      <c r="Q371" s="154"/>
    </row>
    <row r="372" spans="7:17" s="45" customFormat="1" ht="13.8" x14ac:dyDescent="0.3">
      <c r="G372" s="133"/>
      <c r="H372" s="133"/>
      <c r="I372" s="133"/>
      <c r="J372" s="133"/>
      <c r="K372" s="133"/>
      <c r="L372" s="133"/>
      <c r="M372" s="133"/>
      <c r="N372" s="133"/>
      <c r="O372" s="133"/>
      <c r="P372" s="133"/>
      <c r="Q372" s="154"/>
    </row>
    <row r="373" spans="7:17" s="45" customFormat="1" ht="13.8" x14ac:dyDescent="0.3">
      <c r="G373" s="133"/>
      <c r="H373" s="133"/>
      <c r="I373" s="133"/>
      <c r="J373" s="133"/>
      <c r="K373" s="133"/>
      <c r="L373" s="133"/>
      <c r="M373" s="133"/>
      <c r="N373" s="133"/>
      <c r="O373" s="133"/>
      <c r="P373" s="133"/>
      <c r="Q373" s="154"/>
    </row>
    <row r="374" spans="7:17" s="45" customFormat="1" ht="13.8" x14ac:dyDescent="0.3">
      <c r="G374" s="133"/>
      <c r="H374" s="133"/>
      <c r="I374" s="133"/>
      <c r="J374" s="133"/>
      <c r="K374" s="133"/>
      <c r="L374" s="133"/>
      <c r="M374" s="133"/>
      <c r="N374" s="133"/>
      <c r="O374" s="133"/>
      <c r="P374" s="133"/>
      <c r="Q374" s="154"/>
    </row>
    <row r="375" spans="7:17" s="45" customFormat="1" ht="13.8" x14ac:dyDescent="0.3">
      <c r="G375" s="133"/>
      <c r="H375" s="133"/>
      <c r="I375" s="133"/>
      <c r="J375" s="133"/>
      <c r="K375" s="133"/>
      <c r="L375" s="133"/>
      <c r="M375" s="133"/>
      <c r="N375" s="133"/>
      <c r="O375" s="133"/>
      <c r="P375" s="133"/>
      <c r="Q375" s="154"/>
    </row>
    <row r="376" spans="7:17" s="45" customFormat="1" ht="13.8" x14ac:dyDescent="0.3">
      <c r="G376" s="133"/>
      <c r="H376" s="133"/>
      <c r="I376" s="133"/>
      <c r="J376" s="133"/>
      <c r="K376" s="133"/>
      <c r="L376" s="133"/>
      <c r="M376" s="133"/>
      <c r="N376" s="133"/>
      <c r="O376" s="133"/>
      <c r="P376" s="133"/>
      <c r="Q376" s="154"/>
    </row>
    <row r="377" spans="7:17" s="45" customFormat="1" ht="13.8" x14ac:dyDescent="0.3">
      <c r="G377" s="133"/>
      <c r="H377" s="133"/>
      <c r="I377" s="133"/>
      <c r="J377" s="133"/>
      <c r="K377" s="133"/>
      <c r="L377" s="133"/>
      <c r="M377" s="133"/>
      <c r="N377" s="133"/>
      <c r="O377" s="133"/>
      <c r="P377" s="133"/>
      <c r="Q377" s="154"/>
    </row>
    <row r="378" spans="7:17" s="45" customFormat="1" ht="13.8" x14ac:dyDescent="0.3">
      <c r="G378" s="133"/>
      <c r="H378" s="133"/>
      <c r="I378" s="133"/>
      <c r="J378" s="133"/>
      <c r="K378" s="133"/>
      <c r="L378" s="133"/>
      <c r="M378" s="133"/>
      <c r="N378" s="133"/>
      <c r="O378" s="133"/>
      <c r="P378" s="133"/>
      <c r="Q378" s="154"/>
    </row>
    <row r="379" spans="7:17" s="45" customFormat="1" ht="13.8" x14ac:dyDescent="0.3">
      <c r="G379" s="133"/>
      <c r="H379" s="133"/>
      <c r="I379" s="133"/>
      <c r="J379" s="133"/>
      <c r="K379" s="133"/>
      <c r="L379" s="133"/>
      <c r="M379" s="133"/>
      <c r="N379" s="133"/>
      <c r="O379" s="133"/>
      <c r="P379" s="133"/>
      <c r="Q379" s="154"/>
    </row>
    <row r="380" spans="7:17" s="45" customFormat="1" ht="13.8" x14ac:dyDescent="0.3">
      <c r="G380" s="133"/>
      <c r="H380" s="133"/>
      <c r="I380" s="133"/>
      <c r="J380" s="133"/>
      <c r="K380" s="133"/>
      <c r="L380" s="133"/>
      <c r="M380" s="133"/>
      <c r="N380" s="133"/>
      <c r="O380" s="133"/>
      <c r="P380" s="133"/>
      <c r="Q380" s="154"/>
    </row>
    <row r="381" spans="7:17" s="45" customFormat="1" ht="13.8" x14ac:dyDescent="0.3">
      <c r="G381" s="133"/>
      <c r="H381" s="133"/>
      <c r="I381" s="133"/>
      <c r="J381" s="133"/>
      <c r="K381" s="133"/>
      <c r="L381" s="133"/>
      <c r="M381" s="133"/>
      <c r="N381" s="133"/>
      <c r="O381" s="133"/>
      <c r="P381" s="133"/>
      <c r="Q381" s="154"/>
    </row>
    <row r="382" spans="7:17" s="45" customFormat="1" ht="13.8" x14ac:dyDescent="0.3">
      <c r="G382" s="133"/>
      <c r="H382" s="133"/>
      <c r="I382" s="133"/>
      <c r="J382" s="133"/>
      <c r="K382" s="133"/>
      <c r="L382" s="133"/>
      <c r="M382" s="133"/>
      <c r="N382" s="133"/>
      <c r="O382" s="133"/>
      <c r="P382" s="133"/>
      <c r="Q382" s="154"/>
    </row>
    <row r="383" spans="7:17" s="45" customFormat="1" ht="13.8" x14ac:dyDescent="0.3">
      <c r="G383" s="133"/>
      <c r="H383" s="133"/>
      <c r="I383" s="133"/>
      <c r="J383" s="133"/>
      <c r="K383" s="133"/>
      <c r="L383" s="133"/>
      <c r="M383" s="133"/>
      <c r="N383" s="133"/>
      <c r="O383" s="133"/>
      <c r="P383" s="133"/>
      <c r="Q383" s="154"/>
    </row>
    <row r="384" spans="7:17" s="45" customFormat="1" ht="13.8" x14ac:dyDescent="0.3">
      <c r="G384" s="133"/>
      <c r="H384" s="133"/>
      <c r="I384" s="133"/>
      <c r="J384" s="133"/>
      <c r="K384" s="133"/>
      <c r="L384" s="133"/>
      <c r="M384" s="133"/>
      <c r="N384" s="133"/>
      <c r="O384" s="133"/>
      <c r="P384" s="133"/>
      <c r="Q384" s="154"/>
    </row>
    <row r="385" spans="7:17" s="45" customFormat="1" ht="13.8" x14ac:dyDescent="0.3">
      <c r="G385" s="133"/>
      <c r="H385" s="133"/>
      <c r="I385" s="133"/>
      <c r="J385" s="133"/>
      <c r="K385" s="133"/>
      <c r="L385" s="133"/>
      <c r="M385" s="133"/>
      <c r="N385" s="133"/>
      <c r="O385" s="133"/>
      <c r="P385" s="133"/>
      <c r="Q385" s="154"/>
    </row>
    <row r="386" spans="7:17" s="45" customFormat="1" ht="13.8" x14ac:dyDescent="0.3">
      <c r="G386" s="133"/>
      <c r="H386" s="133"/>
      <c r="I386" s="133"/>
      <c r="J386" s="133"/>
      <c r="K386" s="133"/>
      <c r="L386" s="133"/>
      <c r="M386" s="133"/>
      <c r="N386" s="133"/>
      <c r="O386" s="133"/>
      <c r="P386" s="133"/>
      <c r="Q386" s="154"/>
    </row>
    <row r="387" spans="7:17" s="45" customFormat="1" ht="13.8" x14ac:dyDescent="0.3">
      <c r="G387" s="133"/>
      <c r="H387" s="133"/>
      <c r="I387" s="133"/>
      <c r="J387" s="133"/>
      <c r="K387" s="133"/>
      <c r="L387" s="133"/>
      <c r="M387" s="133"/>
      <c r="N387" s="133"/>
      <c r="O387" s="133"/>
      <c r="P387" s="133"/>
      <c r="Q387" s="154"/>
    </row>
    <row r="388" spans="7:17" s="45" customFormat="1" ht="13.8" x14ac:dyDescent="0.3">
      <c r="G388" s="133"/>
      <c r="H388" s="133"/>
      <c r="I388" s="133"/>
      <c r="J388" s="133"/>
      <c r="K388" s="133"/>
      <c r="L388" s="133"/>
      <c r="M388" s="133"/>
      <c r="N388" s="133"/>
      <c r="O388" s="133"/>
      <c r="P388" s="133"/>
      <c r="Q388" s="154"/>
    </row>
    <row r="389" spans="7:17" s="45" customFormat="1" ht="13.8" x14ac:dyDescent="0.3">
      <c r="G389" s="133"/>
      <c r="H389" s="133"/>
      <c r="I389" s="133"/>
      <c r="J389" s="133"/>
      <c r="K389" s="133"/>
      <c r="L389" s="133"/>
      <c r="M389" s="133"/>
      <c r="N389" s="133"/>
      <c r="O389" s="133"/>
      <c r="P389" s="133"/>
      <c r="Q389" s="154"/>
    </row>
    <row r="390" spans="7:17" s="45" customFormat="1" ht="13.8" x14ac:dyDescent="0.3">
      <c r="G390" s="133"/>
      <c r="H390" s="133"/>
      <c r="I390" s="133"/>
      <c r="J390" s="133"/>
      <c r="K390" s="133"/>
      <c r="L390" s="133"/>
      <c r="M390" s="133"/>
      <c r="N390" s="133"/>
      <c r="O390" s="133"/>
      <c r="P390" s="133"/>
      <c r="Q390" s="154"/>
    </row>
    <row r="391" spans="7:17" s="45" customFormat="1" ht="13.8" x14ac:dyDescent="0.3">
      <c r="G391" s="133"/>
      <c r="H391" s="133"/>
      <c r="I391" s="133"/>
      <c r="J391" s="133"/>
      <c r="K391" s="133"/>
      <c r="L391" s="133"/>
      <c r="M391" s="133"/>
      <c r="N391" s="133"/>
      <c r="O391" s="133"/>
      <c r="P391" s="133"/>
      <c r="Q391" s="154"/>
    </row>
    <row r="392" spans="7:17" s="45" customFormat="1" ht="13.8" x14ac:dyDescent="0.3">
      <c r="G392" s="133"/>
      <c r="H392" s="133"/>
      <c r="I392" s="133"/>
      <c r="J392" s="133"/>
      <c r="K392" s="133"/>
      <c r="L392" s="133"/>
      <c r="M392" s="133"/>
      <c r="N392" s="133"/>
      <c r="O392" s="133"/>
      <c r="P392" s="133"/>
      <c r="Q392" s="154"/>
    </row>
    <row r="393" spans="7:17" s="45" customFormat="1" ht="13.8" x14ac:dyDescent="0.3">
      <c r="G393" s="133"/>
      <c r="H393" s="133"/>
      <c r="I393" s="133"/>
      <c r="J393" s="133"/>
      <c r="K393" s="133"/>
      <c r="L393" s="133"/>
      <c r="M393" s="133"/>
      <c r="N393" s="133"/>
      <c r="O393" s="133"/>
      <c r="P393" s="133"/>
      <c r="Q393" s="154"/>
    </row>
    <row r="394" spans="7:17" s="45" customFormat="1" ht="13.8" x14ac:dyDescent="0.3">
      <c r="G394" s="133"/>
      <c r="H394" s="133"/>
      <c r="I394" s="133"/>
      <c r="J394" s="133"/>
      <c r="K394" s="133"/>
      <c r="L394" s="133"/>
      <c r="M394" s="133"/>
      <c r="N394" s="133"/>
      <c r="O394" s="133"/>
      <c r="P394" s="133"/>
      <c r="Q394" s="154"/>
    </row>
    <row r="395" spans="7:17" s="45" customFormat="1" ht="13.8" x14ac:dyDescent="0.3">
      <c r="G395" s="133"/>
      <c r="H395" s="133"/>
      <c r="I395" s="133"/>
      <c r="J395" s="133"/>
      <c r="K395" s="133"/>
      <c r="L395" s="133"/>
      <c r="M395" s="133"/>
      <c r="N395" s="133"/>
      <c r="O395" s="133"/>
      <c r="P395" s="133"/>
      <c r="Q395" s="154"/>
    </row>
    <row r="396" spans="7:17" s="45" customFormat="1" ht="13.8" x14ac:dyDescent="0.3">
      <c r="G396" s="133"/>
      <c r="H396" s="133"/>
      <c r="I396" s="133"/>
      <c r="J396" s="133"/>
      <c r="K396" s="133"/>
      <c r="L396" s="133"/>
      <c r="M396" s="133"/>
      <c r="N396" s="133"/>
      <c r="O396" s="133"/>
      <c r="P396" s="133"/>
      <c r="Q396" s="154"/>
    </row>
    <row r="397" spans="7:17" s="45" customFormat="1" ht="13.8" x14ac:dyDescent="0.3">
      <c r="G397" s="133"/>
      <c r="H397" s="133"/>
      <c r="I397" s="133"/>
      <c r="J397" s="133"/>
      <c r="K397" s="133"/>
      <c r="L397" s="133"/>
      <c r="M397" s="133"/>
      <c r="N397" s="133"/>
      <c r="O397" s="133"/>
      <c r="P397" s="133"/>
      <c r="Q397" s="154"/>
    </row>
    <row r="398" spans="7:17" s="45" customFormat="1" ht="13.8" x14ac:dyDescent="0.3">
      <c r="G398" s="133"/>
      <c r="H398" s="133"/>
      <c r="I398" s="133"/>
      <c r="J398" s="133"/>
      <c r="K398" s="133"/>
      <c r="L398" s="133"/>
      <c r="M398" s="133"/>
      <c r="N398" s="133"/>
      <c r="O398" s="133"/>
      <c r="P398" s="133"/>
      <c r="Q398" s="154"/>
    </row>
    <row r="399" spans="7:17" s="45" customFormat="1" ht="13.8" x14ac:dyDescent="0.3">
      <c r="G399" s="133"/>
      <c r="H399" s="133"/>
      <c r="I399" s="133"/>
      <c r="J399" s="133"/>
      <c r="K399" s="133"/>
      <c r="L399" s="133"/>
      <c r="M399" s="133"/>
      <c r="N399" s="133"/>
      <c r="O399" s="133"/>
      <c r="P399" s="133"/>
      <c r="Q399" s="154"/>
    </row>
    <row r="400" spans="7:17" s="45" customFormat="1" ht="13.8" x14ac:dyDescent="0.3">
      <c r="G400" s="133"/>
      <c r="H400" s="133"/>
      <c r="I400" s="133"/>
      <c r="J400" s="133"/>
      <c r="K400" s="133"/>
      <c r="L400" s="133"/>
      <c r="M400" s="133"/>
      <c r="N400" s="133"/>
      <c r="O400" s="133"/>
      <c r="P400" s="133"/>
      <c r="Q400" s="154"/>
    </row>
    <row r="401" spans="7:17" s="45" customFormat="1" ht="13.8" x14ac:dyDescent="0.3">
      <c r="G401" s="133"/>
      <c r="H401" s="133"/>
      <c r="I401" s="133"/>
      <c r="J401" s="133"/>
      <c r="K401" s="133"/>
      <c r="L401" s="133"/>
      <c r="M401" s="133"/>
      <c r="N401" s="133"/>
      <c r="O401" s="133"/>
      <c r="P401" s="133"/>
      <c r="Q401" s="154"/>
    </row>
    <row r="402" spans="7:17" s="45" customFormat="1" ht="13.8" x14ac:dyDescent="0.3">
      <c r="G402" s="133"/>
      <c r="H402" s="133"/>
      <c r="I402" s="133"/>
      <c r="J402" s="133"/>
      <c r="K402" s="133"/>
      <c r="L402" s="133"/>
      <c r="M402" s="133"/>
      <c r="N402" s="133"/>
      <c r="O402" s="133"/>
      <c r="P402" s="133"/>
      <c r="Q402" s="154"/>
    </row>
    <row r="403" spans="7:17" s="45" customFormat="1" ht="13.8" x14ac:dyDescent="0.3">
      <c r="G403" s="133"/>
      <c r="H403" s="133"/>
      <c r="I403" s="133"/>
      <c r="J403" s="133"/>
      <c r="K403" s="133"/>
      <c r="L403" s="133"/>
      <c r="M403" s="133"/>
      <c r="N403" s="133"/>
      <c r="O403" s="133"/>
      <c r="P403" s="133"/>
      <c r="Q403" s="154"/>
    </row>
    <row r="404" spans="7:17" s="45" customFormat="1" ht="13.8" x14ac:dyDescent="0.3">
      <c r="G404" s="133"/>
      <c r="H404" s="133"/>
      <c r="I404" s="133"/>
      <c r="J404" s="133"/>
      <c r="K404" s="133"/>
      <c r="L404" s="133"/>
      <c r="M404" s="133"/>
      <c r="N404" s="133"/>
      <c r="O404" s="133"/>
      <c r="P404" s="133"/>
      <c r="Q404" s="154"/>
    </row>
    <row r="405" spans="7:17" s="45" customFormat="1" ht="13.8" x14ac:dyDescent="0.3">
      <c r="G405" s="133"/>
      <c r="H405" s="133"/>
      <c r="I405" s="133"/>
      <c r="J405" s="133"/>
      <c r="K405" s="133"/>
      <c r="L405" s="133"/>
      <c r="M405" s="133"/>
      <c r="N405" s="133"/>
      <c r="O405" s="133"/>
      <c r="P405" s="133"/>
      <c r="Q405" s="154"/>
    </row>
    <row r="406" spans="7:17" s="45" customFormat="1" ht="13.8" x14ac:dyDescent="0.3">
      <c r="G406" s="133"/>
      <c r="H406" s="133"/>
      <c r="I406" s="133"/>
      <c r="J406" s="133"/>
      <c r="K406" s="133"/>
      <c r="L406" s="133"/>
      <c r="M406" s="133"/>
      <c r="N406" s="133"/>
      <c r="O406" s="133"/>
      <c r="P406" s="133"/>
      <c r="Q406" s="154"/>
    </row>
    <row r="407" spans="7:17" s="45" customFormat="1" ht="13.8" x14ac:dyDescent="0.3">
      <c r="G407" s="133"/>
      <c r="H407" s="133"/>
      <c r="I407" s="133"/>
      <c r="J407" s="133"/>
      <c r="K407" s="133"/>
      <c r="L407" s="133"/>
      <c r="M407" s="133"/>
      <c r="N407" s="133"/>
      <c r="O407" s="133"/>
      <c r="P407" s="133"/>
      <c r="Q407" s="154"/>
    </row>
    <row r="408" spans="7:17" s="45" customFormat="1" ht="13.8" x14ac:dyDescent="0.3">
      <c r="G408" s="133"/>
      <c r="H408" s="133"/>
      <c r="I408" s="133"/>
      <c r="J408" s="133"/>
      <c r="K408" s="133"/>
      <c r="L408" s="133"/>
      <c r="M408" s="133"/>
      <c r="N408" s="133"/>
      <c r="O408" s="133"/>
      <c r="P408" s="133"/>
      <c r="Q408" s="154"/>
    </row>
    <row r="409" spans="7:17" s="45" customFormat="1" ht="13.8" x14ac:dyDescent="0.3">
      <c r="G409" s="133"/>
      <c r="H409" s="133"/>
      <c r="I409" s="133"/>
      <c r="J409" s="133"/>
      <c r="K409" s="133"/>
      <c r="L409" s="133"/>
      <c r="M409" s="133"/>
      <c r="N409" s="133"/>
      <c r="O409" s="133"/>
      <c r="P409" s="133"/>
      <c r="Q409" s="154"/>
    </row>
    <row r="410" spans="7:17" s="45" customFormat="1" ht="13.8" x14ac:dyDescent="0.3">
      <c r="G410" s="133"/>
      <c r="H410" s="133"/>
      <c r="I410" s="133"/>
      <c r="J410" s="133"/>
      <c r="K410" s="133"/>
      <c r="L410" s="133"/>
      <c r="M410" s="133"/>
      <c r="N410" s="133"/>
      <c r="O410" s="133"/>
      <c r="P410" s="133"/>
      <c r="Q410" s="154"/>
    </row>
    <row r="411" spans="7:17" s="45" customFormat="1" ht="13.8" x14ac:dyDescent="0.3">
      <c r="G411" s="133"/>
      <c r="H411" s="133"/>
      <c r="I411" s="133"/>
      <c r="J411" s="133"/>
      <c r="K411" s="133"/>
      <c r="L411" s="133"/>
      <c r="M411" s="133"/>
      <c r="N411" s="133"/>
      <c r="O411" s="133"/>
      <c r="P411" s="133"/>
      <c r="Q411" s="154"/>
    </row>
    <row r="412" spans="7:17" s="45" customFormat="1" ht="13.8" x14ac:dyDescent="0.3">
      <c r="G412" s="133"/>
      <c r="H412" s="133"/>
      <c r="I412" s="133"/>
      <c r="J412" s="133"/>
      <c r="K412" s="133"/>
      <c r="L412" s="133"/>
      <c r="M412" s="133"/>
      <c r="N412" s="133"/>
      <c r="O412" s="133"/>
      <c r="P412" s="133"/>
      <c r="Q412" s="154"/>
    </row>
    <row r="413" spans="7:17" s="45" customFormat="1" ht="13.8" x14ac:dyDescent="0.3">
      <c r="G413" s="133"/>
      <c r="H413" s="133"/>
      <c r="I413" s="133"/>
      <c r="J413" s="133"/>
      <c r="K413" s="133"/>
      <c r="L413" s="133"/>
      <c r="M413" s="133"/>
      <c r="N413" s="133"/>
      <c r="O413" s="133"/>
      <c r="P413" s="133"/>
      <c r="Q413" s="154"/>
    </row>
    <row r="414" spans="7:17" s="45" customFormat="1" ht="13.8" x14ac:dyDescent="0.3">
      <c r="G414" s="133"/>
      <c r="H414" s="133"/>
      <c r="I414" s="133"/>
      <c r="J414" s="133"/>
      <c r="K414" s="133"/>
      <c r="L414" s="133"/>
      <c r="M414" s="133"/>
      <c r="N414" s="133"/>
      <c r="O414" s="133"/>
      <c r="P414" s="133"/>
      <c r="Q414" s="154"/>
    </row>
    <row r="415" spans="7:17" s="45" customFormat="1" ht="13.8" x14ac:dyDescent="0.3">
      <c r="G415" s="133"/>
      <c r="H415" s="133"/>
      <c r="I415" s="133"/>
      <c r="J415" s="133"/>
      <c r="K415" s="133"/>
      <c r="L415" s="133"/>
      <c r="M415" s="133"/>
      <c r="N415" s="133"/>
      <c r="O415" s="133"/>
      <c r="P415" s="133"/>
      <c r="Q415" s="154"/>
    </row>
    <row r="416" spans="7:17" s="45" customFormat="1" ht="13.8" x14ac:dyDescent="0.3">
      <c r="G416" s="133"/>
      <c r="H416" s="133"/>
      <c r="I416" s="133"/>
      <c r="J416" s="133"/>
      <c r="K416" s="133"/>
      <c r="L416" s="133"/>
      <c r="M416" s="133"/>
      <c r="N416" s="133"/>
      <c r="O416" s="133"/>
      <c r="P416" s="133"/>
      <c r="Q416" s="154"/>
    </row>
    <row r="417" spans="2:98" s="45" customFormat="1" ht="13.8" x14ac:dyDescent="0.3">
      <c r="G417" s="133"/>
      <c r="H417" s="133"/>
      <c r="I417" s="133"/>
      <c r="J417" s="133"/>
      <c r="K417" s="133"/>
      <c r="L417" s="133"/>
      <c r="M417" s="133"/>
      <c r="N417" s="133"/>
      <c r="O417" s="133"/>
      <c r="P417" s="133"/>
      <c r="Q417" s="154"/>
    </row>
    <row r="418" spans="2:98" s="45" customFormat="1" ht="13.8" x14ac:dyDescent="0.3">
      <c r="G418" s="133"/>
      <c r="H418" s="133"/>
      <c r="I418" s="133"/>
      <c r="J418" s="133"/>
      <c r="K418" s="133"/>
      <c r="L418" s="133"/>
      <c r="M418" s="133"/>
      <c r="N418" s="133"/>
      <c r="O418" s="133"/>
      <c r="P418" s="133"/>
      <c r="Q418" s="154"/>
    </row>
    <row r="419" spans="2:98" s="45" customFormat="1" ht="13.8" x14ac:dyDescent="0.3">
      <c r="G419" s="133"/>
      <c r="H419" s="133"/>
      <c r="I419" s="133"/>
      <c r="J419" s="133"/>
      <c r="K419" s="133"/>
      <c r="L419" s="133"/>
      <c r="M419" s="133"/>
      <c r="N419" s="133"/>
      <c r="O419" s="133"/>
      <c r="P419" s="133"/>
      <c r="Q419" s="154"/>
    </row>
    <row r="420" spans="2:98" s="45" customFormat="1" ht="13.8" x14ac:dyDescent="0.3">
      <c r="G420" s="133"/>
      <c r="H420" s="133"/>
      <c r="I420" s="133"/>
      <c r="J420" s="133"/>
      <c r="K420" s="133"/>
      <c r="L420" s="133"/>
      <c r="M420" s="133"/>
      <c r="N420" s="133"/>
      <c r="O420" s="133"/>
      <c r="P420" s="133"/>
      <c r="Q420" s="154"/>
    </row>
    <row r="421" spans="2:98" s="45" customFormat="1" ht="13.8" x14ac:dyDescent="0.3">
      <c r="G421" s="133"/>
      <c r="H421" s="133"/>
      <c r="I421" s="133"/>
      <c r="J421" s="133"/>
      <c r="K421" s="133"/>
      <c r="L421" s="133"/>
      <c r="M421" s="133"/>
      <c r="N421" s="133"/>
      <c r="O421" s="133"/>
      <c r="P421" s="133"/>
      <c r="Q421" s="154"/>
    </row>
    <row r="422" spans="2:98" s="45" customFormat="1" ht="13.8" x14ac:dyDescent="0.3">
      <c r="G422" s="133"/>
      <c r="H422" s="133"/>
      <c r="I422" s="133"/>
      <c r="J422" s="133"/>
      <c r="K422" s="133"/>
      <c r="L422" s="133"/>
      <c r="M422" s="133"/>
      <c r="N422" s="133"/>
      <c r="O422" s="133"/>
      <c r="P422" s="133"/>
      <c r="Q422" s="154"/>
    </row>
    <row r="423" spans="2:98" s="45" customFormat="1" ht="13.8" x14ac:dyDescent="0.3">
      <c r="G423" s="133"/>
      <c r="H423" s="133"/>
      <c r="I423" s="133"/>
      <c r="J423" s="133"/>
      <c r="K423" s="133"/>
      <c r="L423" s="133"/>
      <c r="M423" s="133"/>
      <c r="N423" s="133"/>
      <c r="O423" s="133"/>
      <c r="P423" s="133"/>
      <c r="Q423" s="154"/>
    </row>
    <row r="424" spans="2:98" s="45" customFormat="1" ht="13.8" x14ac:dyDescent="0.3">
      <c r="G424" s="133"/>
      <c r="H424" s="133"/>
      <c r="I424" s="133"/>
      <c r="J424" s="133"/>
      <c r="K424" s="133"/>
      <c r="L424" s="133"/>
      <c r="M424" s="133"/>
      <c r="N424" s="133"/>
      <c r="O424" s="133"/>
      <c r="P424" s="133"/>
      <c r="Q424" s="154"/>
    </row>
    <row r="425" spans="2:98" s="45" customFormat="1" ht="13.8" x14ac:dyDescent="0.3">
      <c r="G425" s="133"/>
      <c r="H425" s="133"/>
      <c r="I425" s="133"/>
      <c r="J425" s="133"/>
      <c r="K425" s="133"/>
      <c r="L425" s="133"/>
      <c r="M425" s="133"/>
      <c r="N425" s="133"/>
      <c r="O425" s="133"/>
      <c r="P425" s="133"/>
      <c r="Q425" s="154"/>
    </row>
    <row r="426" spans="2:98" x14ac:dyDescent="0.4">
      <c r="B426" s="45"/>
      <c r="C426" s="45"/>
      <c r="D426" s="45"/>
      <c r="E426" s="45"/>
      <c r="G426" s="133"/>
      <c r="H426" s="133"/>
      <c r="J426" s="133"/>
      <c r="K426" s="133"/>
      <c r="L426" s="133"/>
      <c r="M426" s="133"/>
      <c r="R426" s="135"/>
      <c r="S426" s="135"/>
      <c r="T426" s="135"/>
      <c r="U426" s="135"/>
      <c r="V426" s="135"/>
      <c r="W426" s="135"/>
      <c r="X426" s="135"/>
      <c r="Y426" s="135"/>
      <c r="Z426" s="135"/>
      <c r="AA426" s="135"/>
      <c r="AB426" s="135"/>
      <c r="AC426" s="135"/>
      <c r="AD426" s="135"/>
      <c r="AE426" s="135"/>
      <c r="AF426" s="135"/>
      <c r="AG426" s="135"/>
      <c r="AH426" s="135"/>
      <c r="AI426" s="135"/>
      <c r="AJ426" s="135"/>
      <c r="AK426" s="135"/>
      <c r="AL426" s="135"/>
      <c r="AM426" s="135"/>
      <c r="AN426" s="135"/>
      <c r="AO426" s="135"/>
      <c r="AP426" s="135"/>
      <c r="AQ426" s="135"/>
      <c r="AR426" s="135"/>
      <c r="AS426" s="135"/>
      <c r="AT426" s="135"/>
      <c r="AU426" s="135"/>
      <c r="AV426" s="135"/>
      <c r="AW426" s="135"/>
      <c r="AX426" s="135"/>
      <c r="AY426" s="135"/>
      <c r="AZ426" s="135"/>
      <c r="BA426" s="135"/>
      <c r="BB426" s="135"/>
      <c r="BC426" s="135"/>
      <c r="BD426" s="135"/>
      <c r="BE426" s="135"/>
      <c r="BF426" s="135"/>
      <c r="BG426" s="135"/>
      <c r="BH426" s="135"/>
      <c r="BI426" s="135"/>
      <c r="BJ426" s="135"/>
      <c r="BK426" s="135"/>
      <c r="BL426" s="135"/>
      <c r="BM426" s="135"/>
      <c r="BN426" s="135"/>
      <c r="BO426" s="135"/>
      <c r="BP426" s="135"/>
      <c r="BQ426" s="135"/>
      <c r="BR426" s="135"/>
      <c r="BS426" s="135"/>
      <c r="BT426" s="135"/>
      <c r="BU426" s="135"/>
      <c r="BV426" s="135"/>
      <c r="BW426" s="135"/>
      <c r="BX426" s="135"/>
      <c r="BY426" s="135"/>
      <c r="BZ426" s="135"/>
      <c r="CA426" s="135"/>
      <c r="CB426" s="135"/>
      <c r="CC426" s="135"/>
      <c r="CD426" s="135"/>
      <c r="CE426" s="135"/>
      <c r="CF426" s="135"/>
      <c r="CG426" s="135"/>
      <c r="CH426" s="135"/>
      <c r="CI426" s="135"/>
      <c r="CJ426" s="135"/>
      <c r="CK426" s="135"/>
      <c r="CL426" s="135"/>
      <c r="CM426" s="135"/>
      <c r="CN426" s="135"/>
      <c r="CO426" s="135"/>
      <c r="CP426" s="135"/>
      <c r="CQ426" s="135"/>
      <c r="CR426" s="135"/>
      <c r="CS426" s="135"/>
      <c r="CT426" s="135"/>
    </row>
    <row r="427" spans="2:98" x14ac:dyDescent="0.4">
      <c r="B427" s="45"/>
      <c r="C427" s="45"/>
      <c r="D427" s="45"/>
      <c r="E427" s="45"/>
      <c r="G427" s="133"/>
      <c r="H427" s="133"/>
      <c r="J427" s="133"/>
      <c r="K427" s="133"/>
      <c r="L427" s="133"/>
      <c r="M427" s="133"/>
      <c r="R427" s="135"/>
      <c r="S427" s="135"/>
      <c r="T427" s="135"/>
      <c r="U427" s="135"/>
      <c r="V427" s="135"/>
      <c r="W427" s="135"/>
      <c r="X427" s="135"/>
      <c r="Y427" s="135"/>
      <c r="Z427" s="135"/>
      <c r="AA427" s="135"/>
      <c r="AB427" s="135"/>
      <c r="AC427" s="135"/>
      <c r="AD427" s="135"/>
      <c r="AE427" s="135"/>
      <c r="AF427" s="135"/>
      <c r="AG427" s="135"/>
      <c r="AH427" s="135"/>
      <c r="AI427" s="135"/>
      <c r="AJ427" s="135"/>
      <c r="AK427" s="135"/>
      <c r="AL427" s="135"/>
      <c r="AM427" s="135"/>
      <c r="AN427" s="135"/>
      <c r="AO427" s="135"/>
      <c r="AP427" s="135"/>
      <c r="AQ427" s="135"/>
      <c r="AR427" s="135"/>
      <c r="AS427" s="135"/>
      <c r="AT427" s="135"/>
      <c r="AU427" s="135"/>
      <c r="AV427" s="135"/>
      <c r="AW427" s="135"/>
      <c r="AX427" s="135"/>
      <c r="AY427" s="135"/>
      <c r="AZ427" s="135"/>
      <c r="BA427" s="135"/>
      <c r="BB427" s="135"/>
      <c r="BC427" s="135"/>
      <c r="BD427" s="135"/>
      <c r="BE427" s="135"/>
      <c r="BF427" s="135"/>
      <c r="BG427" s="135"/>
      <c r="BH427" s="135"/>
      <c r="BI427" s="135"/>
      <c r="BJ427" s="135"/>
      <c r="BK427" s="135"/>
      <c r="BL427" s="135"/>
      <c r="BM427" s="135"/>
      <c r="BN427" s="135"/>
      <c r="BO427" s="135"/>
      <c r="BP427" s="135"/>
      <c r="BQ427" s="135"/>
      <c r="BR427" s="135"/>
      <c r="BS427" s="135"/>
      <c r="BT427" s="135"/>
      <c r="BU427" s="135"/>
      <c r="BV427" s="135"/>
      <c r="BW427" s="135"/>
      <c r="BX427" s="135"/>
      <c r="BY427" s="135"/>
      <c r="BZ427" s="135"/>
      <c r="CA427" s="135"/>
      <c r="CB427" s="135"/>
      <c r="CC427" s="135"/>
      <c r="CD427" s="135"/>
      <c r="CE427" s="135"/>
      <c r="CF427" s="135"/>
      <c r="CG427" s="135"/>
      <c r="CH427" s="135"/>
      <c r="CI427" s="135"/>
      <c r="CJ427" s="135"/>
      <c r="CK427" s="135"/>
      <c r="CL427" s="135"/>
      <c r="CM427" s="135"/>
      <c r="CN427" s="135"/>
      <c r="CO427" s="135"/>
      <c r="CP427" s="135"/>
      <c r="CQ427" s="135"/>
      <c r="CR427" s="135"/>
      <c r="CS427" s="135"/>
      <c r="CT427" s="135"/>
    </row>
    <row r="428" spans="2:98" x14ac:dyDescent="0.4">
      <c r="B428" s="45"/>
      <c r="C428" s="45"/>
      <c r="D428" s="45"/>
      <c r="E428" s="45"/>
      <c r="G428" s="133"/>
      <c r="H428" s="133"/>
      <c r="J428" s="133"/>
      <c r="K428" s="133"/>
      <c r="L428" s="133"/>
      <c r="M428" s="133"/>
      <c r="R428" s="135"/>
      <c r="S428" s="135"/>
      <c r="T428" s="135"/>
      <c r="U428" s="135"/>
      <c r="V428" s="135"/>
      <c r="W428" s="135"/>
      <c r="X428" s="135"/>
      <c r="Y428" s="135"/>
      <c r="Z428" s="135"/>
      <c r="AA428" s="135"/>
      <c r="AB428" s="135"/>
      <c r="AC428" s="135"/>
      <c r="AD428" s="135"/>
      <c r="AE428" s="135"/>
      <c r="AF428" s="135"/>
      <c r="AG428" s="135"/>
      <c r="AH428" s="135"/>
      <c r="AI428" s="135"/>
      <c r="AJ428" s="135"/>
      <c r="AK428" s="135"/>
      <c r="AL428" s="135"/>
      <c r="AM428" s="135"/>
      <c r="AN428" s="135"/>
      <c r="AO428" s="135"/>
      <c r="AP428" s="135"/>
      <c r="AQ428" s="135"/>
      <c r="AR428" s="135"/>
      <c r="AS428" s="135"/>
      <c r="AT428" s="135"/>
      <c r="AU428" s="135"/>
      <c r="AV428" s="135"/>
      <c r="AW428" s="135"/>
      <c r="AX428" s="135"/>
      <c r="AY428" s="135"/>
      <c r="AZ428" s="135"/>
      <c r="BA428" s="135"/>
      <c r="BB428" s="135"/>
      <c r="BC428" s="135"/>
      <c r="BD428" s="135"/>
      <c r="BE428" s="135"/>
      <c r="BF428" s="135"/>
      <c r="BG428" s="135"/>
      <c r="BH428" s="135"/>
      <c r="BI428" s="135"/>
      <c r="BJ428" s="135"/>
      <c r="BK428" s="135"/>
      <c r="BL428" s="135"/>
      <c r="BM428" s="135"/>
      <c r="BN428" s="135"/>
      <c r="BO428" s="135"/>
      <c r="BP428" s="135"/>
      <c r="BQ428" s="135"/>
      <c r="BR428" s="135"/>
      <c r="BS428" s="135"/>
      <c r="BT428" s="135"/>
      <c r="BU428" s="135"/>
      <c r="BV428" s="135"/>
      <c r="BW428" s="135"/>
      <c r="BX428" s="135"/>
      <c r="BY428" s="135"/>
      <c r="BZ428" s="135"/>
      <c r="CA428" s="135"/>
      <c r="CB428" s="135"/>
      <c r="CC428" s="135"/>
      <c r="CD428" s="135"/>
      <c r="CE428" s="135"/>
      <c r="CF428" s="135"/>
      <c r="CG428" s="135"/>
      <c r="CH428" s="135"/>
      <c r="CI428" s="135"/>
      <c r="CJ428" s="135"/>
      <c r="CK428" s="135"/>
      <c r="CL428" s="135"/>
      <c r="CM428" s="135"/>
      <c r="CN428" s="135"/>
      <c r="CO428" s="135"/>
      <c r="CP428" s="135"/>
      <c r="CQ428" s="135"/>
      <c r="CR428" s="135"/>
      <c r="CS428" s="135"/>
      <c r="CT428" s="135"/>
    </row>
    <row r="429" spans="2:98" x14ac:dyDescent="0.4">
      <c r="B429" s="45"/>
      <c r="C429" s="45"/>
      <c r="D429" s="45"/>
      <c r="E429" s="45"/>
      <c r="G429" s="133"/>
      <c r="H429" s="133"/>
      <c r="J429" s="133"/>
      <c r="K429" s="133"/>
      <c r="L429" s="133"/>
      <c r="M429" s="133"/>
      <c r="R429" s="135"/>
      <c r="S429" s="135"/>
      <c r="T429" s="135"/>
      <c r="U429" s="135"/>
      <c r="V429" s="135"/>
      <c r="W429" s="135"/>
      <c r="X429" s="135"/>
      <c r="Y429" s="135"/>
      <c r="Z429" s="135"/>
      <c r="AA429" s="135"/>
      <c r="AB429" s="135"/>
      <c r="AC429" s="135"/>
      <c r="AD429" s="135"/>
      <c r="AE429" s="135"/>
      <c r="AF429" s="135"/>
      <c r="AG429" s="135"/>
      <c r="AH429" s="135"/>
      <c r="AI429" s="135"/>
      <c r="AJ429" s="135"/>
      <c r="AK429" s="135"/>
      <c r="AL429" s="135"/>
      <c r="AM429" s="135"/>
      <c r="AN429" s="135"/>
      <c r="AO429" s="135"/>
      <c r="AP429" s="135"/>
      <c r="AQ429" s="135"/>
      <c r="AR429" s="135"/>
      <c r="AS429" s="135"/>
      <c r="AT429" s="135"/>
      <c r="AU429" s="135"/>
      <c r="AV429" s="135"/>
      <c r="AW429" s="135"/>
      <c r="AX429" s="135"/>
      <c r="AY429" s="135"/>
      <c r="AZ429" s="135"/>
      <c r="BA429" s="135"/>
      <c r="BB429" s="135"/>
      <c r="BC429" s="135"/>
      <c r="BD429" s="135"/>
      <c r="BE429" s="135"/>
      <c r="BF429" s="135"/>
      <c r="BG429" s="135"/>
      <c r="BH429" s="135"/>
      <c r="BI429" s="135"/>
      <c r="BJ429" s="135"/>
      <c r="BK429" s="135"/>
      <c r="BL429" s="135"/>
      <c r="BM429" s="135"/>
      <c r="BN429" s="135"/>
      <c r="BO429" s="135"/>
      <c r="BP429" s="135"/>
      <c r="BQ429" s="135"/>
      <c r="BR429" s="135"/>
      <c r="BS429" s="135"/>
      <c r="BT429" s="135"/>
      <c r="BU429" s="135"/>
      <c r="BV429" s="135"/>
      <c r="BW429" s="135"/>
      <c r="BX429" s="135"/>
      <c r="BY429" s="135"/>
      <c r="BZ429" s="135"/>
      <c r="CA429" s="135"/>
      <c r="CB429" s="135"/>
      <c r="CC429" s="135"/>
      <c r="CD429" s="135"/>
      <c r="CE429" s="135"/>
      <c r="CF429" s="135"/>
      <c r="CG429" s="135"/>
      <c r="CH429" s="135"/>
      <c r="CI429" s="135"/>
      <c r="CJ429" s="135"/>
      <c r="CK429" s="135"/>
      <c r="CL429" s="135"/>
      <c r="CM429" s="135"/>
      <c r="CN429" s="135"/>
      <c r="CO429" s="135"/>
      <c r="CP429" s="135"/>
      <c r="CQ429" s="135"/>
      <c r="CR429" s="135"/>
      <c r="CS429" s="135"/>
      <c r="CT429" s="135"/>
    </row>
    <row r="430" spans="2:98" x14ac:dyDescent="0.4">
      <c r="B430" s="45"/>
      <c r="C430" s="45"/>
      <c r="D430" s="45"/>
      <c r="E430" s="45"/>
      <c r="G430" s="133"/>
      <c r="H430" s="133"/>
      <c r="J430" s="133"/>
      <c r="K430" s="133"/>
      <c r="L430" s="133"/>
      <c r="M430" s="133"/>
      <c r="R430" s="135"/>
      <c r="S430" s="135"/>
      <c r="T430" s="135"/>
      <c r="U430" s="135"/>
      <c r="V430" s="135"/>
      <c r="W430" s="135"/>
      <c r="X430" s="135"/>
      <c r="Y430" s="135"/>
      <c r="Z430" s="135"/>
      <c r="AA430" s="135"/>
      <c r="AB430" s="135"/>
      <c r="AC430" s="135"/>
      <c r="AD430" s="135"/>
      <c r="AE430" s="135"/>
      <c r="AF430" s="135"/>
      <c r="AG430" s="135"/>
      <c r="AH430" s="135"/>
      <c r="AI430" s="135"/>
      <c r="AJ430" s="135"/>
      <c r="AK430" s="135"/>
      <c r="AL430" s="135"/>
      <c r="AM430" s="135"/>
      <c r="AN430" s="135"/>
      <c r="AO430" s="135"/>
      <c r="AP430" s="135"/>
      <c r="AQ430" s="135"/>
      <c r="AR430" s="135"/>
      <c r="AS430" s="135"/>
      <c r="AT430" s="135"/>
      <c r="AU430" s="135"/>
      <c r="AV430" s="135"/>
      <c r="AW430" s="135"/>
      <c r="AX430" s="135"/>
      <c r="AY430" s="135"/>
      <c r="AZ430" s="135"/>
      <c r="BA430" s="135"/>
      <c r="BB430" s="135"/>
      <c r="BC430" s="135"/>
      <c r="BD430" s="135"/>
      <c r="BE430" s="135"/>
      <c r="BF430" s="135"/>
      <c r="BG430" s="135"/>
      <c r="BH430" s="135"/>
      <c r="BI430" s="135"/>
      <c r="BJ430" s="135"/>
      <c r="BK430" s="135"/>
      <c r="BL430" s="135"/>
      <c r="BM430" s="135"/>
      <c r="BN430" s="135"/>
      <c r="BO430" s="135"/>
      <c r="BP430" s="135"/>
      <c r="BQ430" s="135"/>
      <c r="BR430" s="135"/>
      <c r="BS430" s="135"/>
      <c r="BT430" s="135"/>
      <c r="BU430" s="135"/>
      <c r="BV430" s="135"/>
      <c r="BW430" s="135"/>
      <c r="BX430" s="135"/>
      <c r="BY430" s="135"/>
      <c r="BZ430" s="135"/>
      <c r="CA430" s="135"/>
      <c r="CB430" s="135"/>
      <c r="CC430" s="135"/>
      <c r="CD430" s="135"/>
      <c r="CE430" s="135"/>
      <c r="CF430" s="135"/>
      <c r="CG430" s="135"/>
      <c r="CH430" s="135"/>
      <c r="CI430" s="135"/>
      <c r="CJ430" s="135"/>
      <c r="CK430" s="135"/>
      <c r="CL430" s="135"/>
      <c r="CM430" s="135"/>
      <c r="CN430" s="135"/>
      <c r="CO430" s="135"/>
      <c r="CP430" s="135"/>
      <c r="CQ430" s="135"/>
      <c r="CR430" s="135"/>
      <c r="CS430" s="135"/>
      <c r="CT430" s="135"/>
    </row>
    <row r="431" spans="2:98" x14ac:dyDescent="0.4">
      <c r="B431" s="45"/>
      <c r="C431" s="45"/>
      <c r="D431" s="45"/>
      <c r="E431" s="45"/>
      <c r="G431" s="133"/>
      <c r="H431" s="133"/>
      <c r="J431" s="133"/>
      <c r="K431" s="133"/>
      <c r="L431" s="133"/>
      <c r="M431" s="133"/>
      <c r="R431" s="135"/>
      <c r="S431" s="135"/>
      <c r="T431" s="135"/>
      <c r="U431" s="135"/>
      <c r="V431" s="135"/>
      <c r="W431" s="135"/>
      <c r="X431" s="135"/>
      <c r="Y431" s="135"/>
      <c r="Z431" s="135"/>
      <c r="AA431" s="135"/>
      <c r="AB431" s="135"/>
      <c r="AC431" s="135"/>
      <c r="AD431" s="135"/>
      <c r="AE431" s="135"/>
      <c r="AF431" s="135"/>
      <c r="AG431" s="135"/>
      <c r="AH431" s="135"/>
      <c r="AI431" s="135"/>
      <c r="AJ431" s="135"/>
      <c r="AK431" s="135"/>
      <c r="AL431" s="135"/>
      <c r="AM431" s="135"/>
      <c r="AN431" s="135"/>
      <c r="AO431" s="135"/>
      <c r="AP431" s="135"/>
      <c r="AQ431" s="135"/>
      <c r="AR431" s="135"/>
      <c r="AS431" s="135"/>
      <c r="AT431" s="135"/>
      <c r="AU431" s="135"/>
      <c r="AV431" s="135"/>
      <c r="AW431" s="135"/>
      <c r="AX431" s="135"/>
      <c r="AY431" s="135"/>
      <c r="AZ431" s="135"/>
      <c r="BA431" s="135"/>
      <c r="BB431" s="135"/>
      <c r="BC431" s="135"/>
      <c r="BD431" s="135"/>
      <c r="BE431" s="135"/>
      <c r="BF431" s="135"/>
      <c r="BG431" s="135"/>
      <c r="BH431" s="135"/>
      <c r="BI431" s="135"/>
      <c r="BJ431" s="135"/>
      <c r="BK431" s="135"/>
      <c r="BL431" s="135"/>
      <c r="BM431" s="135"/>
      <c r="BN431" s="135"/>
      <c r="BO431" s="135"/>
      <c r="BP431" s="135"/>
      <c r="BQ431" s="135"/>
      <c r="BR431" s="135"/>
      <c r="BS431" s="135"/>
      <c r="BT431" s="135"/>
      <c r="BU431" s="135"/>
      <c r="BV431" s="135"/>
      <c r="BW431" s="135"/>
      <c r="BX431" s="135"/>
      <c r="BY431" s="135"/>
      <c r="BZ431" s="135"/>
      <c r="CA431" s="135"/>
      <c r="CB431" s="135"/>
      <c r="CC431" s="135"/>
      <c r="CD431" s="135"/>
      <c r="CE431" s="135"/>
      <c r="CF431" s="135"/>
      <c r="CG431" s="135"/>
      <c r="CH431" s="135"/>
      <c r="CI431" s="135"/>
      <c r="CJ431" s="135"/>
      <c r="CK431" s="135"/>
      <c r="CL431" s="135"/>
      <c r="CM431" s="135"/>
      <c r="CN431" s="135"/>
      <c r="CO431" s="135"/>
      <c r="CP431" s="135"/>
      <c r="CQ431" s="135"/>
      <c r="CR431" s="135"/>
      <c r="CS431" s="135"/>
      <c r="CT431" s="135"/>
    </row>
    <row r="432" spans="2:98" x14ac:dyDescent="0.4">
      <c r="B432" s="45"/>
      <c r="C432" s="45"/>
      <c r="D432" s="45"/>
      <c r="E432" s="45"/>
      <c r="G432" s="133"/>
      <c r="H432" s="133"/>
      <c r="J432" s="133"/>
      <c r="K432" s="133"/>
      <c r="L432" s="133"/>
      <c r="M432" s="133"/>
      <c r="R432" s="135"/>
      <c r="S432" s="135"/>
      <c r="T432" s="135"/>
      <c r="U432" s="135"/>
      <c r="V432" s="135"/>
      <c r="W432" s="135"/>
      <c r="X432" s="135"/>
      <c r="Y432" s="135"/>
      <c r="Z432" s="135"/>
      <c r="AA432" s="135"/>
      <c r="AB432" s="135"/>
      <c r="AC432" s="135"/>
      <c r="AD432" s="135"/>
      <c r="AE432" s="135"/>
      <c r="AF432" s="135"/>
      <c r="AG432" s="135"/>
      <c r="AH432" s="135"/>
      <c r="AI432" s="135"/>
      <c r="AJ432" s="135"/>
      <c r="AK432" s="135"/>
      <c r="AL432" s="135"/>
      <c r="AM432" s="135"/>
      <c r="AN432" s="135"/>
      <c r="AO432" s="135"/>
      <c r="AP432" s="135"/>
      <c r="AQ432" s="135"/>
      <c r="AR432" s="135"/>
      <c r="AS432" s="135"/>
      <c r="AT432" s="135"/>
      <c r="AU432" s="135"/>
      <c r="AV432" s="135"/>
      <c r="AW432" s="135"/>
      <c r="AX432" s="135"/>
      <c r="AY432" s="135"/>
      <c r="AZ432" s="135"/>
      <c r="BA432" s="135"/>
      <c r="BB432" s="135"/>
      <c r="BC432" s="135"/>
      <c r="BD432" s="135"/>
      <c r="BE432" s="135"/>
      <c r="BF432" s="135"/>
      <c r="BG432" s="135"/>
      <c r="BH432" s="135"/>
      <c r="BI432" s="135"/>
      <c r="BJ432" s="135"/>
      <c r="BK432" s="135"/>
      <c r="BL432" s="135"/>
      <c r="BM432" s="135"/>
      <c r="BN432" s="135"/>
      <c r="BO432" s="135"/>
      <c r="BP432" s="135"/>
      <c r="BQ432" s="135"/>
      <c r="BR432" s="135"/>
      <c r="BS432" s="135"/>
      <c r="BT432" s="135"/>
      <c r="BU432" s="135"/>
      <c r="BV432" s="135"/>
      <c r="BW432" s="135"/>
      <c r="BX432" s="135"/>
      <c r="BY432" s="135"/>
      <c r="BZ432" s="135"/>
      <c r="CA432" s="135"/>
      <c r="CB432" s="135"/>
      <c r="CC432" s="135"/>
      <c r="CD432" s="135"/>
      <c r="CE432" s="135"/>
      <c r="CF432" s="135"/>
      <c r="CG432" s="135"/>
      <c r="CH432" s="135"/>
      <c r="CI432" s="135"/>
      <c r="CJ432" s="135"/>
      <c r="CK432" s="135"/>
      <c r="CL432" s="135"/>
      <c r="CM432" s="135"/>
      <c r="CN432" s="135"/>
      <c r="CO432" s="135"/>
      <c r="CP432" s="135"/>
      <c r="CQ432" s="135"/>
      <c r="CR432" s="135"/>
      <c r="CS432" s="135"/>
      <c r="CT432" s="135"/>
    </row>
    <row r="433" spans="2:98" x14ac:dyDescent="0.4">
      <c r="B433" s="45"/>
      <c r="C433" s="45"/>
      <c r="D433" s="45"/>
      <c r="E433" s="45"/>
      <c r="G433" s="133"/>
      <c r="H433" s="133"/>
      <c r="J433" s="133"/>
      <c r="K433" s="133"/>
      <c r="L433" s="133"/>
      <c r="M433" s="133"/>
      <c r="N433" s="135"/>
      <c r="O433" s="135"/>
      <c r="P433" s="135"/>
      <c r="R433" s="135"/>
      <c r="S433" s="135"/>
      <c r="T433" s="135"/>
      <c r="U433" s="135"/>
      <c r="V433" s="135"/>
      <c r="W433" s="135"/>
      <c r="X433" s="135"/>
      <c r="Y433" s="135"/>
      <c r="Z433" s="135"/>
      <c r="AA433" s="135"/>
      <c r="AB433" s="135"/>
      <c r="AC433" s="135"/>
      <c r="AD433" s="135"/>
      <c r="AE433" s="135"/>
      <c r="AF433" s="135"/>
      <c r="AG433" s="135"/>
      <c r="AH433" s="135"/>
      <c r="AI433" s="135"/>
      <c r="AJ433" s="135"/>
      <c r="AK433" s="135"/>
      <c r="AL433" s="135"/>
      <c r="AM433" s="135"/>
      <c r="AN433" s="135"/>
      <c r="AO433" s="135"/>
      <c r="AP433" s="135"/>
      <c r="AQ433" s="135"/>
      <c r="AR433" s="135"/>
      <c r="AS433" s="135"/>
      <c r="AT433" s="135"/>
      <c r="AU433" s="135"/>
      <c r="AV433" s="135"/>
      <c r="AW433" s="135"/>
      <c r="AX433" s="135"/>
      <c r="AY433" s="135"/>
      <c r="AZ433" s="135"/>
      <c r="BA433" s="135"/>
      <c r="BB433" s="135"/>
      <c r="BC433" s="135"/>
      <c r="BD433" s="135"/>
      <c r="BE433" s="135"/>
      <c r="BF433" s="135"/>
      <c r="BG433" s="135"/>
      <c r="BH433" s="135"/>
      <c r="BI433" s="135"/>
      <c r="BJ433" s="135"/>
      <c r="BK433" s="135"/>
      <c r="BL433" s="135"/>
      <c r="BM433" s="135"/>
      <c r="BN433" s="135"/>
      <c r="BO433" s="135"/>
      <c r="BP433" s="135"/>
      <c r="BQ433" s="135"/>
      <c r="BR433" s="135"/>
      <c r="BS433" s="135"/>
      <c r="BT433" s="135"/>
      <c r="BU433" s="135"/>
      <c r="BV433" s="135"/>
      <c r="BW433" s="135"/>
      <c r="BX433" s="135"/>
      <c r="BY433" s="135"/>
      <c r="BZ433" s="135"/>
      <c r="CA433" s="135"/>
      <c r="CB433" s="135"/>
      <c r="CC433" s="135"/>
      <c r="CD433" s="135"/>
      <c r="CE433" s="135"/>
      <c r="CF433" s="135"/>
      <c r="CG433" s="135"/>
      <c r="CH433" s="135"/>
      <c r="CI433" s="135"/>
      <c r="CJ433" s="135"/>
      <c r="CK433" s="135"/>
      <c r="CL433" s="135"/>
      <c r="CM433" s="135"/>
      <c r="CN433" s="135"/>
      <c r="CO433" s="135"/>
      <c r="CP433" s="135"/>
      <c r="CQ433" s="135"/>
      <c r="CR433" s="135"/>
      <c r="CS433" s="135"/>
      <c r="CT433" s="135"/>
    </row>
    <row r="434" spans="2:98" x14ac:dyDescent="0.4">
      <c r="B434" s="45"/>
      <c r="C434" s="45"/>
      <c r="D434" s="45"/>
      <c r="E434" s="45"/>
      <c r="G434" s="133"/>
      <c r="H434" s="133"/>
      <c r="J434" s="133"/>
      <c r="K434" s="133"/>
      <c r="L434" s="133"/>
      <c r="M434" s="133"/>
      <c r="N434" s="135"/>
      <c r="O434" s="135"/>
      <c r="P434" s="135"/>
      <c r="R434" s="135"/>
      <c r="S434" s="135"/>
      <c r="T434" s="135"/>
      <c r="U434" s="135"/>
      <c r="V434" s="135"/>
      <c r="W434" s="135"/>
      <c r="X434" s="135"/>
      <c r="Y434" s="135"/>
      <c r="Z434" s="135"/>
      <c r="AA434" s="135"/>
      <c r="AB434" s="135"/>
      <c r="AC434" s="135"/>
      <c r="AD434" s="135"/>
      <c r="AE434" s="135"/>
      <c r="AF434" s="135"/>
      <c r="AG434" s="135"/>
      <c r="AH434" s="135"/>
      <c r="AI434" s="135"/>
      <c r="AJ434" s="135"/>
      <c r="AK434" s="135"/>
      <c r="AL434" s="135"/>
      <c r="AM434" s="135"/>
      <c r="AN434" s="135"/>
      <c r="AO434" s="135"/>
      <c r="AP434" s="135"/>
      <c r="AQ434" s="135"/>
      <c r="AR434" s="135"/>
      <c r="AS434" s="135"/>
      <c r="AT434" s="135"/>
      <c r="AU434" s="135"/>
      <c r="AV434" s="135"/>
      <c r="AW434" s="135"/>
      <c r="AX434" s="135"/>
      <c r="AY434" s="135"/>
      <c r="AZ434" s="135"/>
      <c r="BA434" s="135"/>
      <c r="BB434" s="135"/>
      <c r="BC434" s="135"/>
      <c r="BD434" s="135"/>
      <c r="BE434" s="135"/>
      <c r="BF434" s="135"/>
      <c r="BG434" s="135"/>
      <c r="BH434" s="135"/>
      <c r="BI434" s="135"/>
      <c r="BJ434" s="135"/>
      <c r="BK434" s="135"/>
      <c r="BL434" s="135"/>
      <c r="BM434" s="135"/>
      <c r="BN434" s="135"/>
      <c r="BO434" s="135"/>
      <c r="BP434" s="135"/>
      <c r="BQ434" s="135"/>
      <c r="BR434" s="135"/>
      <c r="BS434" s="135"/>
      <c r="BT434" s="135"/>
      <c r="BU434" s="135"/>
      <c r="BV434" s="135"/>
      <c r="BW434" s="135"/>
      <c r="BX434" s="135"/>
      <c r="BY434" s="135"/>
      <c r="BZ434" s="135"/>
      <c r="CA434" s="135"/>
      <c r="CB434" s="135"/>
      <c r="CC434" s="135"/>
      <c r="CD434" s="135"/>
      <c r="CE434" s="135"/>
      <c r="CF434" s="135"/>
      <c r="CG434" s="135"/>
      <c r="CH434" s="135"/>
      <c r="CI434" s="135"/>
      <c r="CJ434" s="135"/>
      <c r="CK434" s="135"/>
      <c r="CL434" s="135"/>
      <c r="CM434" s="135"/>
      <c r="CN434" s="135"/>
      <c r="CO434" s="135"/>
      <c r="CP434" s="135"/>
      <c r="CQ434" s="135"/>
      <c r="CR434" s="135"/>
      <c r="CS434" s="135"/>
      <c r="CT434" s="135"/>
    </row>
    <row r="435" spans="2:98" x14ac:dyDescent="0.4">
      <c r="B435" s="45"/>
      <c r="C435" s="45"/>
      <c r="D435" s="45"/>
      <c r="E435" s="45"/>
      <c r="G435" s="133"/>
      <c r="H435" s="133"/>
      <c r="J435" s="133"/>
      <c r="K435" s="133"/>
      <c r="L435" s="133"/>
      <c r="M435" s="133"/>
      <c r="N435" s="135"/>
      <c r="O435" s="135"/>
      <c r="P435" s="135"/>
      <c r="R435" s="135"/>
      <c r="S435" s="135"/>
      <c r="T435" s="135"/>
      <c r="U435" s="135"/>
      <c r="V435" s="135"/>
      <c r="W435" s="135"/>
      <c r="X435" s="135"/>
      <c r="Y435" s="135"/>
      <c r="Z435" s="135"/>
      <c r="AA435" s="135"/>
      <c r="AB435" s="135"/>
      <c r="AC435" s="135"/>
      <c r="AD435" s="135"/>
      <c r="AE435" s="135"/>
      <c r="AF435" s="135"/>
      <c r="AG435" s="135"/>
      <c r="AH435" s="135"/>
      <c r="AI435" s="135"/>
      <c r="AJ435" s="135"/>
      <c r="AK435" s="135"/>
      <c r="AL435" s="135"/>
      <c r="AM435" s="135"/>
      <c r="AN435" s="135"/>
      <c r="AO435" s="135"/>
      <c r="AP435" s="135"/>
      <c r="AQ435" s="135"/>
      <c r="AR435" s="135"/>
      <c r="AS435" s="135"/>
      <c r="AT435" s="135"/>
      <c r="AU435" s="135"/>
      <c r="AV435" s="135"/>
      <c r="AW435" s="135"/>
      <c r="AX435" s="135"/>
      <c r="AY435" s="135"/>
      <c r="AZ435" s="135"/>
      <c r="BA435" s="135"/>
      <c r="BB435" s="135"/>
      <c r="BC435" s="135"/>
      <c r="BD435" s="135"/>
      <c r="BE435" s="135"/>
      <c r="BF435" s="135"/>
      <c r="BG435" s="135"/>
      <c r="BH435" s="135"/>
      <c r="BI435" s="135"/>
      <c r="BJ435" s="135"/>
      <c r="BK435" s="135"/>
      <c r="BL435" s="135"/>
      <c r="BM435" s="135"/>
      <c r="BN435" s="135"/>
      <c r="BO435" s="135"/>
      <c r="BP435" s="135"/>
      <c r="BQ435" s="135"/>
      <c r="BR435" s="135"/>
      <c r="BS435" s="135"/>
      <c r="BT435" s="135"/>
      <c r="BU435" s="135"/>
      <c r="BV435" s="135"/>
      <c r="BW435" s="135"/>
      <c r="BX435" s="135"/>
      <c r="BY435" s="135"/>
      <c r="BZ435" s="135"/>
      <c r="CA435" s="135"/>
      <c r="CB435" s="135"/>
      <c r="CC435" s="135"/>
      <c r="CD435" s="135"/>
      <c r="CE435" s="135"/>
      <c r="CF435" s="135"/>
      <c r="CG435" s="135"/>
      <c r="CH435" s="135"/>
      <c r="CI435" s="135"/>
      <c r="CJ435" s="135"/>
      <c r="CK435" s="135"/>
      <c r="CL435" s="135"/>
      <c r="CM435" s="135"/>
      <c r="CN435" s="135"/>
      <c r="CO435" s="135"/>
      <c r="CP435" s="135"/>
      <c r="CQ435" s="135"/>
      <c r="CR435" s="135"/>
      <c r="CS435" s="135"/>
      <c r="CT435" s="135"/>
    </row>
    <row r="436" spans="2:98" x14ac:dyDescent="0.4">
      <c r="B436" s="45"/>
      <c r="C436" s="45"/>
      <c r="D436" s="45"/>
      <c r="E436" s="45"/>
      <c r="G436" s="133"/>
      <c r="H436" s="133"/>
      <c r="J436" s="133"/>
      <c r="K436" s="133"/>
      <c r="L436" s="133"/>
      <c r="M436" s="133"/>
      <c r="N436" s="135"/>
      <c r="O436" s="135"/>
      <c r="P436" s="135"/>
      <c r="R436" s="135"/>
      <c r="S436" s="135"/>
      <c r="T436" s="135"/>
      <c r="U436" s="135"/>
      <c r="V436" s="135"/>
      <c r="W436" s="135"/>
      <c r="X436" s="135"/>
      <c r="Y436" s="135"/>
      <c r="Z436" s="135"/>
      <c r="AA436" s="135"/>
      <c r="AB436" s="135"/>
      <c r="AC436" s="135"/>
      <c r="AD436" s="135"/>
      <c r="AE436" s="135"/>
      <c r="AF436" s="135"/>
      <c r="AG436" s="135"/>
      <c r="AH436" s="135"/>
      <c r="AI436" s="135"/>
      <c r="AJ436" s="135"/>
      <c r="AK436" s="135"/>
      <c r="AL436" s="135"/>
      <c r="AM436" s="135"/>
      <c r="AN436" s="135"/>
      <c r="AO436" s="135"/>
      <c r="AP436" s="135"/>
      <c r="AQ436" s="135"/>
      <c r="AR436" s="135"/>
      <c r="AS436" s="135"/>
      <c r="AT436" s="135"/>
      <c r="AU436" s="135"/>
      <c r="AV436" s="135"/>
      <c r="AW436" s="135"/>
      <c r="AX436" s="135"/>
      <c r="AY436" s="135"/>
      <c r="AZ436" s="135"/>
      <c r="BA436" s="135"/>
      <c r="BB436" s="135"/>
      <c r="BC436" s="135"/>
      <c r="BD436" s="135"/>
      <c r="BE436" s="135"/>
      <c r="BF436" s="135"/>
      <c r="BG436" s="135"/>
      <c r="BH436" s="135"/>
      <c r="BI436" s="135"/>
      <c r="BJ436" s="135"/>
      <c r="BK436" s="135"/>
      <c r="BL436" s="135"/>
      <c r="BM436" s="135"/>
      <c r="BN436" s="135"/>
      <c r="BO436" s="135"/>
      <c r="BP436" s="135"/>
      <c r="BQ436" s="135"/>
      <c r="BR436" s="135"/>
      <c r="BS436" s="135"/>
      <c r="BT436" s="135"/>
      <c r="BU436" s="135"/>
      <c r="BV436" s="135"/>
      <c r="BW436" s="135"/>
      <c r="BX436" s="135"/>
      <c r="BY436" s="135"/>
      <c r="BZ436" s="135"/>
      <c r="CA436" s="135"/>
      <c r="CB436" s="135"/>
      <c r="CC436" s="135"/>
      <c r="CD436" s="135"/>
      <c r="CE436" s="135"/>
      <c r="CF436" s="135"/>
      <c r="CG436" s="135"/>
      <c r="CH436" s="135"/>
      <c r="CI436" s="135"/>
      <c r="CJ436" s="135"/>
      <c r="CK436" s="135"/>
      <c r="CL436" s="135"/>
      <c r="CM436" s="135"/>
      <c r="CN436" s="135"/>
      <c r="CO436" s="135"/>
      <c r="CP436" s="135"/>
      <c r="CQ436" s="135"/>
      <c r="CR436" s="135"/>
      <c r="CS436" s="135"/>
      <c r="CT436" s="135"/>
    </row>
    <row r="437" spans="2:98" x14ac:dyDescent="0.4">
      <c r="B437" s="45"/>
      <c r="C437" s="45"/>
      <c r="D437" s="45"/>
      <c r="E437" s="45"/>
      <c r="G437" s="133"/>
      <c r="H437" s="133"/>
      <c r="J437" s="133"/>
      <c r="K437" s="133"/>
      <c r="L437" s="133"/>
      <c r="M437" s="133"/>
      <c r="N437" s="135"/>
      <c r="O437" s="135"/>
      <c r="P437" s="135"/>
      <c r="R437" s="135"/>
      <c r="S437" s="135"/>
      <c r="T437" s="135"/>
      <c r="U437" s="135"/>
      <c r="V437" s="135"/>
      <c r="W437" s="135"/>
      <c r="X437" s="135"/>
      <c r="Y437" s="135"/>
      <c r="Z437" s="135"/>
      <c r="AA437" s="135"/>
      <c r="AB437" s="135"/>
      <c r="AC437" s="135"/>
      <c r="AD437" s="135"/>
      <c r="AE437" s="135"/>
      <c r="AF437" s="135"/>
      <c r="AG437" s="135"/>
      <c r="AH437" s="135"/>
      <c r="AI437" s="135"/>
      <c r="AJ437" s="135"/>
      <c r="AK437" s="135"/>
      <c r="AL437" s="135"/>
      <c r="AM437" s="135"/>
      <c r="AN437" s="135"/>
      <c r="AO437" s="135"/>
      <c r="AP437" s="135"/>
      <c r="AQ437" s="135"/>
      <c r="AR437" s="135"/>
      <c r="AS437" s="135"/>
      <c r="AT437" s="135"/>
      <c r="AU437" s="135"/>
      <c r="AV437" s="135"/>
      <c r="AW437" s="135"/>
      <c r="AX437" s="135"/>
      <c r="AY437" s="135"/>
      <c r="AZ437" s="135"/>
      <c r="BA437" s="135"/>
      <c r="BB437" s="135"/>
      <c r="BC437" s="135"/>
      <c r="BD437" s="135"/>
      <c r="BE437" s="135"/>
      <c r="BF437" s="135"/>
      <c r="BG437" s="135"/>
      <c r="BH437" s="135"/>
      <c r="BI437" s="135"/>
      <c r="BJ437" s="135"/>
      <c r="BK437" s="135"/>
      <c r="BL437" s="135"/>
      <c r="BM437" s="135"/>
      <c r="BN437" s="135"/>
      <c r="BO437" s="135"/>
      <c r="BP437" s="135"/>
      <c r="BQ437" s="135"/>
      <c r="BR437" s="135"/>
      <c r="BS437" s="135"/>
      <c r="BT437" s="135"/>
      <c r="BU437" s="135"/>
      <c r="BV437" s="135"/>
      <c r="BW437" s="135"/>
      <c r="BX437" s="135"/>
      <c r="BY437" s="135"/>
      <c r="BZ437" s="135"/>
      <c r="CA437" s="135"/>
      <c r="CB437" s="135"/>
      <c r="CC437" s="135"/>
      <c r="CD437" s="135"/>
      <c r="CE437" s="135"/>
      <c r="CF437" s="135"/>
      <c r="CG437" s="135"/>
      <c r="CH437" s="135"/>
      <c r="CI437" s="135"/>
      <c r="CJ437" s="135"/>
      <c r="CK437" s="135"/>
      <c r="CL437" s="135"/>
      <c r="CM437" s="135"/>
      <c r="CN437" s="135"/>
      <c r="CO437" s="135"/>
      <c r="CP437" s="135"/>
      <c r="CQ437" s="135"/>
      <c r="CR437" s="135"/>
      <c r="CS437" s="135"/>
      <c r="CT437" s="135"/>
    </row>
    <row r="438" spans="2:98" x14ac:dyDescent="0.4">
      <c r="B438" s="45"/>
      <c r="C438" s="45"/>
      <c r="D438" s="45"/>
      <c r="E438" s="45"/>
      <c r="G438" s="133"/>
      <c r="H438" s="133"/>
      <c r="J438" s="133"/>
      <c r="K438" s="133"/>
      <c r="L438" s="133"/>
      <c r="M438" s="133"/>
      <c r="N438" s="135"/>
      <c r="O438" s="135"/>
      <c r="P438" s="135"/>
      <c r="R438" s="135"/>
      <c r="S438" s="135"/>
      <c r="T438" s="135"/>
      <c r="U438" s="135"/>
      <c r="V438" s="135"/>
      <c r="W438" s="135"/>
      <c r="X438" s="135"/>
      <c r="Y438" s="135"/>
      <c r="Z438" s="135"/>
      <c r="AA438" s="135"/>
      <c r="AB438" s="135"/>
      <c r="AC438" s="135"/>
      <c r="AD438" s="135"/>
      <c r="AE438" s="135"/>
      <c r="AF438" s="135"/>
      <c r="AG438" s="135"/>
      <c r="AH438" s="135"/>
      <c r="AI438" s="135"/>
      <c r="AJ438" s="135"/>
      <c r="AK438" s="135"/>
      <c r="AL438" s="135"/>
      <c r="AM438" s="135"/>
      <c r="AN438" s="135"/>
      <c r="AO438" s="135"/>
      <c r="AP438" s="135"/>
      <c r="AQ438" s="135"/>
      <c r="AR438" s="135"/>
      <c r="AS438" s="135"/>
      <c r="AT438" s="135"/>
      <c r="AU438" s="135"/>
      <c r="AV438" s="135"/>
      <c r="AW438" s="135"/>
      <c r="AX438" s="135"/>
      <c r="AY438" s="135"/>
      <c r="AZ438" s="135"/>
      <c r="BA438" s="135"/>
      <c r="BB438" s="135"/>
      <c r="BC438" s="135"/>
      <c r="BD438" s="135"/>
      <c r="BE438" s="135"/>
      <c r="BF438" s="135"/>
      <c r="BG438" s="135"/>
      <c r="BH438" s="135"/>
      <c r="BI438" s="135"/>
      <c r="BJ438" s="135"/>
      <c r="BK438" s="135"/>
      <c r="BL438" s="135"/>
      <c r="BM438" s="135"/>
      <c r="BN438" s="135"/>
      <c r="BO438" s="135"/>
      <c r="BP438" s="135"/>
      <c r="BQ438" s="135"/>
      <c r="BR438" s="135"/>
      <c r="BS438" s="135"/>
      <c r="BT438" s="135"/>
      <c r="BU438" s="135"/>
      <c r="BV438" s="135"/>
      <c r="BW438" s="135"/>
      <c r="BX438" s="135"/>
      <c r="BY438" s="135"/>
      <c r="BZ438" s="135"/>
      <c r="CA438" s="135"/>
      <c r="CB438" s="135"/>
      <c r="CC438" s="135"/>
      <c r="CD438" s="135"/>
      <c r="CE438" s="135"/>
      <c r="CF438" s="135"/>
      <c r="CG438" s="135"/>
      <c r="CH438" s="135"/>
      <c r="CI438" s="135"/>
      <c r="CJ438" s="135"/>
      <c r="CK438" s="135"/>
      <c r="CL438" s="135"/>
      <c r="CM438" s="135"/>
      <c r="CN438" s="135"/>
      <c r="CO438" s="135"/>
      <c r="CP438" s="135"/>
      <c r="CQ438" s="135"/>
      <c r="CR438" s="135"/>
      <c r="CS438" s="135"/>
      <c r="CT438" s="135"/>
    </row>
    <row r="439" spans="2:98" x14ac:dyDescent="0.4">
      <c r="B439" s="45"/>
      <c r="C439" s="45"/>
      <c r="D439" s="45"/>
      <c r="E439" s="45"/>
      <c r="G439" s="133"/>
      <c r="H439" s="133"/>
      <c r="J439" s="133"/>
      <c r="K439" s="133"/>
      <c r="L439" s="133"/>
      <c r="M439" s="133"/>
      <c r="N439" s="135"/>
      <c r="O439" s="135"/>
      <c r="P439" s="135"/>
      <c r="R439" s="135"/>
      <c r="S439" s="135"/>
      <c r="T439" s="135"/>
      <c r="U439" s="135"/>
      <c r="V439" s="135"/>
      <c r="W439" s="135"/>
      <c r="X439" s="135"/>
      <c r="Y439" s="135"/>
      <c r="Z439" s="135"/>
      <c r="AA439" s="135"/>
      <c r="AB439" s="135"/>
      <c r="AC439" s="135"/>
      <c r="AD439" s="135"/>
      <c r="AE439" s="135"/>
      <c r="AF439" s="135"/>
      <c r="AG439" s="135"/>
      <c r="AH439" s="135"/>
      <c r="AI439" s="135"/>
      <c r="AJ439" s="135"/>
      <c r="AK439" s="135"/>
      <c r="AL439" s="135"/>
      <c r="AM439" s="135"/>
      <c r="AN439" s="135"/>
      <c r="AO439" s="135"/>
      <c r="AP439" s="135"/>
      <c r="AQ439" s="135"/>
      <c r="AR439" s="135"/>
      <c r="AS439" s="135"/>
      <c r="AT439" s="135"/>
      <c r="AU439" s="135"/>
      <c r="AV439" s="135"/>
      <c r="AW439" s="135"/>
      <c r="AX439" s="135"/>
      <c r="AY439" s="135"/>
      <c r="AZ439" s="135"/>
      <c r="BA439" s="135"/>
      <c r="BB439" s="135"/>
      <c r="BC439" s="135"/>
      <c r="BD439" s="135"/>
      <c r="BE439" s="135"/>
      <c r="BF439" s="135"/>
      <c r="BG439" s="135"/>
      <c r="BH439" s="135"/>
      <c r="BI439" s="135"/>
      <c r="BJ439" s="135"/>
      <c r="BK439" s="135"/>
      <c r="BL439" s="135"/>
      <c r="BM439" s="135"/>
      <c r="BN439" s="135"/>
      <c r="BO439" s="135"/>
      <c r="BP439" s="135"/>
      <c r="BQ439" s="135"/>
      <c r="BR439" s="135"/>
      <c r="BS439" s="135"/>
      <c r="BT439" s="135"/>
      <c r="BU439" s="135"/>
      <c r="BV439" s="135"/>
      <c r="BW439" s="135"/>
      <c r="BX439" s="135"/>
      <c r="BY439" s="135"/>
      <c r="BZ439" s="135"/>
      <c r="CA439" s="135"/>
      <c r="CB439" s="135"/>
      <c r="CC439" s="135"/>
      <c r="CD439" s="135"/>
      <c r="CE439" s="135"/>
      <c r="CF439" s="135"/>
      <c r="CG439" s="135"/>
      <c r="CH439" s="135"/>
      <c r="CI439" s="135"/>
      <c r="CJ439" s="135"/>
      <c r="CK439" s="135"/>
      <c r="CL439" s="135"/>
      <c r="CM439" s="135"/>
      <c r="CN439" s="135"/>
      <c r="CO439" s="135"/>
      <c r="CP439" s="135"/>
      <c r="CQ439" s="135"/>
      <c r="CR439" s="135"/>
      <c r="CS439" s="135"/>
      <c r="CT439" s="135"/>
    </row>
    <row r="440" spans="2:98" x14ac:dyDescent="0.4">
      <c r="B440" s="45"/>
      <c r="C440" s="45"/>
      <c r="D440" s="45"/>
      <c r="E440" s="45"/>
      <c r="G440" s="133"/>
      <c r="H440" s="133"/>
      <c r="J440" s="133"/>
      <c r="K440" s="133"/>
      <c r="L440" s="133"/>
      <c r="M440" s="133"/>
      <c r="N440" s="135"/>
      <c r="O440" s="135"/>
      <c r="P440" s="135"/>
      <c r="R440" s="135"/>
      <c r="S440" s="135"/>
      <c r="T440" s="135"/>
      <c r="U440" s="135"/>
      <c r="V440" s="135"/>
      <c r="W440" s="135"/>
      <c r="X440" s="135"/>
      <c r="Y440" s="135"/>
      <c r="Z440" s="135"/>
      <c r="AA440" s="135"/>
      <c r="AB440" s="135"/>
      <c r="AC440" s="135"/>
      <c r="AD440" s="135"/>
      <c r="AE440" s="135"/>
      <c r="AF440" s="135"/>
      <c r="AG440" s="135"/>
      <c r="AH440" s="135"/>
      <c r="AI440" s="135"/>
      <c r="AJ440" s="135"/>
      <c r="AK440" s="135"/>
      <c r="AL440" s="135"/>
      <c r="AM440" s="135"/>
      <c r="AN440" s="135"/>
      <c r="AO440" s="135"/>
      <c r="AP440" s="135"/>
      <c r="AQ440" s="135"/>
      <c r="AR440" s="135"/>
      <c r="AS440" s="135"/>
      <c r="AT440" s="135"/>
      <c r="AU440" s="135"/>
      <c r="AV440" s="135"/>
      <c r="AW440" s="135"/>
      <c r="AX440" s="135"/>
      <c r="AY440" s="135"/>
      <c r="AZ440" s="135"/>
      <c r="BA440" s="135"/>
      <c r="BB440" s="135"/>
      <c r="BC440" s="135"/>
      <c r="BD440" s="135"/>
      <c r="BE440" s="135"/>
      <c r="BF440" s="135"/>
      <c r="BG440" s="135"/>
      <c r="BH440" s="135"/>
      <c r="BI440" s="135"/>
      <c r="BJ440" s="135"/>
      <c r="BK440" s="135"/>
      <c r="BL440" s="135"/>
      <c r="BM440" s="135"/>
      <c r="BN440" s="135"/>
      <c r="BO440" s="135"/>
      <c r="BP440" s="135"/>
      <c r="BQ440" s="135"/>
      <c r="BR440" s="135"/>
      <c r="BS440" s="135"/>
      <c r="BT440" s="135"/>
      <c r="BU440" s="135"/>
      <c r="BV440" s="135"/>
      <c r="BW440" s="135"/>
      <c r="BX440" s="135"/>
      <c r="BY440" s="135"/>
      <c r="BZ440" s="135"/>
      <c r="CA440" s="135"/>
      <c r="CB440" s="135"/>
      <c r="CC440" s="135"/>
      <c r="CD440" s="135"/>
      <c r="CE440" s="135"/>
      <c r="CF440" s="135"/>
      <c r="CG440" s="135"/>
      <c r="CH440" s="135"/>
      <c r="CI440" s="135"/>
      <c r="CJ440" s="135"/>
      <c r="CK440" s="135"/>
      <c r="CL440" s="135"/>
      <c r="CM440" s="135"/>
      <c r="CN440" s="135"/>
      <c r="CO440" s="135"/>
      <c r="CP440" s="135"/>
      <c r="CQ440" s="135"/>
      <c r="CR440" s="135"/>
      <c r="CS440" s="135"/>
      <c r="CT440" s="135"/>
    </row>
    <row r="441" spans="2:98" x14ac:dyDescent="0.4">
      <c r="B441" s="45"/>
      <c r="C441" s="45"/>
      <c r="D441" s="45"/>
      <c r="E441" s="45"/>
      <c r="G441" s="133"/>
      <c r="H441" s="133"/>
      <c r="J441" s="133"/>
      <c r="K441" s="133"/>
      <c r="L441" s="133"/>
      <c r="M441" s="133"/>
      <c r="N441" s="135"/>
      <c r="O441" s="135"/>
      <c r="P441" s="135"/>
      <c r="R441" s="135"/>
      <c r="S441" s="135"/>
      <c r="T441" s="135"/>
      <c r="U441" s="135"/>
      <c r="V441" s="135"/>
      <c r="W441" s="135"/>
      <c r="X441" s="135"/>
      <c r="Y441" s="135"/>
      <c r="Z441" s="135"/>
      <c r="AA441" s="135"/>
      <c r="AB441" s="135"/>
      <c r="AC441" s="135"/>
      <c r="AD441" s="135"/>
      <c r="AE441" s="135"/>
      <c r="AF441" s="135"/>
      <c r="AG441" s="135"/>
      <c r="AH441" s="135"/>
      <c r="AI441" s="135"/>
      <c r="AJ441" s="135"/>
      <c r="AK441" s="135"/>
      <c r="AL441" s="135"/>
      <c r="AM441" s="135"/>
      <c r="AN441" s="135"/>
      <c r="AO441" s="135"/>
      <c r="AP441" s="135"/>
      <c r="AQ441" s="135"/>
      <c r="AR441" s="135"/>
      <c r="AS441" s="135"/>
      <c r="AT441" s="135"/>
      <c r="AU441" s="135"/>
      <c r="AV441" s="135"/>
      <c r="AW441" s="135"/>
      <c r="AX441" s="135"/>
      <c r="AY441" s="135"/>
      <c r="AZ441" s="135"/>
      <c r="BA441" s="135"/>
      <c r="BB441" s="135"/>
      <c r="BC441" s="135"/>
      <c r="BD441" s="135"/>
      <c r="BE441" s="135"/>
      <c r="BF441" s="135"/>
      <c r="BG441" s="135"/>
      <c r="BH441" s="135"/>
      <c r="BI441" s="135"/>
      <c r="BJ441" s="135"/>
      <c r="BK441" s="135"/>
      <c r="BL441" s="135"/>
      <c r="BM441" s="135"/>
      <c r="BN441" s="135"/>
      <c r="BO441" s="135"/>
      <c r="BP441" s="135"/>
      <c r="BQ441" s="135"/>
      <c r="BR441" s="135"/>
      <c r="BS441" s="135"/>
      <c r="BT441" s="135"/>
      <c r="BU441" s="135"/>
      <c r="BV441" s="135"/>
      <c r="BW441" s="135"/>
      <c r="BX441" s="135"/>
      <c r="BY441" s="135"/>
      <c r="BZ441" s="135"/>
      <c r="CA441" s="135"/>
      <c r="CB441" s="135"/>
      <c r="CC441" s="135"/>
      <c r="CD441" s="135"/>
      <c r="CE441" s="135"/>
      <c r="CF441" s="135"/>
      <c r="CG441" s="135"/>
      <c r="CH441" s="135"/>
      <c r="CI441" s="135"/>
      <c r="CJ441" s="135"/>
      <c r="CK441" s="135"/>
      <c r="CL441" s="135"/>
      <c r="CM441" s="135"/>
      <c r="CN441" s="135"/>
      <c r="CO441" s="135"/>
      <c r="CP441" s="135"/>
      <c r="CQ441" s="135"/>
      <c r="CR441" s="135"/>
      <c r="CS441" s="135"/>
      <c r="CT441" s="135"/>
    </row>
    <row r="442" spans="2:98" x14ac:dyDescent="0.4">
      <c r="B442" s="45"/>
      <c r="C442" s="45"/>
      <c r="D442" s="45"/>
      <c r="E442" s="45"/>
      <c r="G442" s="133"/>
      <c r="H442" s="133"/>
      <c r="J442" s="133"/>
      <c r="K442" s="133"/>
      <c r="L442" s="133"/>
      <c r="M442" s="133"/>
      <c r="N442" s="135"/>
      <c r="O442" s="135"/>
      <c r="P442" s="135"/>
      <c r="R442" s="135"/>
      <c r="S442" s="135"/>
      <c r="T442" s="135"/>
      <c r="U442" s="135"/>
      <c r="V442" s="135"/>
      <c r="W442" s="135"/>
      <c r="X442" s="135"/>
      <c r="Y442" s="135"/>
      <c r="Z442" s="135"/>
      <c r="AA442" s="135"/>
      <c r="AB442" s="135"/>
      <c r="AC442" s="135"/>
      <c r="AD442" s="135"/>
      <c r="AE442" s="135"/>
      <c r="AF442" s="135"/>
      <c r="AG442" s="135"/>
      <c r="AH442" s="135"/>
      <c r="AI442" s="135"/>
      <c r="AJ442" s="135"/>
      <c r="AK442" s="135"/>
      <c r="AL442" s="135"/>
      <c r="AM442" s="135"/>
      <c r="AN442" s="135"/>
      <c r="AO442" s="135"/>
      <c r="AP442" s="135"/>
      <c r="AQ442" s="135"/>
      <c r="AR442" s="135"/>
      <c r="AS442" s="135"/>
      <c r="AT442" s="135"/>
      <c r="AU442" s="135"/>
      <c r="AV442" s="135"/>
      <c r="AW442" s="135"/>
      <c r="AX442" s="135"/>
      <c r="AY442" s="135"/>
      <c r="AZ442" s="135"/>
      <c r="BA442" s="135"/>
      <c r="BB442" s="135"/>
      <c r="BC442" s="135"/>
      <c r="BD442" s="135"/>
      <c r="BE442" s="135"/>
      <c r="BF442" s="135"/>
      <c r="BG442" s="135"/>
      <c r="BH442" s="135"/>
      <c r="BI442" s="135"/>
      <c r="BJ442" s="135"/>
      <c r="BK442" s="135"/>
      <c r="BL442" s="135"/>
      <c r="BM442" s="135"/>
      <c r="BN442" s="135"/>
      <c r="BO442" s="135"/>
      <c r="BP442" s="135"/>
      <c r="BQ442" s="135"/>
      <c r="BR442" s="135"/>
      <c r="BS442" s="135"/>
      <c r="BT442" s="135"/>
      <c r="BU442" s="135"/>
      <c r="BV442" s="135"/>
      <c r="BW442" s="135"/>
      <c r="BX442" s="135"/>
      <c r="BY442" s="135"/>
      <c r="BZ442" s="135"/>
      <c r="CA442" s="135"/>
      <c r="CB442" s="135"/>
      <c r="CC442" s="135"/>
      <c r="CD442" s="135"/>
      <c r="CE442" s="135"/>
      <c r="CF442" s="135"/>
      <c r="CG442" s="135"/>
      <c r="CH442" s="135"/>
      <c r="CI442" s="135"/>
      <c r="CJ442" s="135"/>
      <c r="CK442" s="135"/>
      <c r="CL442" s="135"/>
      <c r="CM442" s="135"/>
      <c r="CN442" s="135"/>
      <c r="CO442" s="135"/>
      <c r="CP442" s="135"/>
      <c r="CQ442" s="135"/>
      <c r="CR442" s="135"/>
      <c r="CS442" s="135"/>
      <c r="CT442" s="135"/>
    </row>
    <row r="443" spans="2:98" x14ac:dyDescent="0.4">
      <c r="B443" s="45"/>
      <c r="C443" s="45"/>
      <c r="D443" s="45"/>
      <c r="E443" s="45"/>
      <c r="G443" s="133"/>
      <c r="H443" s="133"/>
      <c r="J443" s="133"/>
      <c r="K443" s="133"/>
      <c r="L443" s="133"/>
      <c r="M443" s="133"/>
      <c r="N443" s="135"/>
      <c r="O443" s="135"/>
      <c r="P443" s="135"/>
      <c r="R443" s="135"/>
      <c r="S443" s="135"/>
      <c r="T443" s="135"/>
      <c r="U443" s="135"/>
      <c r="V443" s="135"/>
      <c r="W443" s="135"/>
      <c r="X443" s="135"/>
      <c r="Y443" s="135"/>
      <c r="Z443" s="135"/>
      <c r="AA443" s="135"/>
      <c r="AB443" s="135"/>
      <c r="AC443" s="135"/>
      <c r="AD443" s="135"/>
      <c r="AE443" s="135"/>
      <c r="AF443" s="135"/>
      <c r="AG443" s="135"/>
      <c r="AH443" s="135"/>
      <c r="AI443" s="135"/>
      <c r="AJ443" s="135"/>
      <c r="AK443" s="135"/>
      <c r="AL443" s="135"/>
      <c r="AM443" s="135"/>
      <c r="AN443" s="135"/>
      <c r="AO443" s="135"/>
      <c r="AP443" s="135"/>
      <c r="AQ443" s="135"/>
      <c r="AR443" s="135"/>
      <c r="AS443" s="135"/>
      <c r="AT443" s="135"/>
      <c r="AU443" s="135"/>
      <c r="AV443" s="135"/>
      <c r="AW443" s="135"/>
      <c r="AX443" s="135"/>
      <c r="AY443" s="135"/>
      <c r="AZ443" s="135"/>
      <c r="BA443" s="135"/>
      <c r="BB443" s="135"/>
      <c r="BC443" s="135"/>
      <c r="BD443" s="135"/>
      <c r="BE443" s="135"/>
      <c r="BF443" s="135"/>
      <c r="BG443" s="135"/>
      <c r="BH443" s="135"/>
      <c r="BI443" s="135"/>
      <c r="BJ443" s="135"/>
      <c r="BK443" s="135"/>
      <c r="BL443" s="135"/>
      <c r="BM443" s="135"/>
      <c r="BN443" s="135"/>
      <c r="BO443" s="135"/>
      <c r="BP443" s="135"/>
      <c r="BQ443" s="135"/>
      <c r="BR443" s="135"/>
      <c r="BS443" s="135"/>
      <c r="BT443" s="135"/>
      <c r="BU443" s="135"/>
      <c r="BV443" s="135"/>
      <c r="BW443" s="135"/>
      <c r="BX443" s="135"/>
      <c r="BY443" s="135"/>
      <c r="BZ443" s="135"/>
      <c r="CA443" s="135"/>
      <c r="CB443" s="135"/>
      <c r="CC443" s="135"/>
      <c r="CD443" s="135"/>
      <c r="CE443" s="135"/>
      <c r="CF443" s="135"/>
      <c r="CG443" s="135"/>
      <c r="CH443" s="135"/>
      <c r="CI443" s="135"/>
      <c r="CJ443" s="135"/>
      <c r="CK443" s="135"/>
      <c r="CL443" s="135"/>
      <c r="CM443" s="135"/>
      <c r="CN443" s="135"/>
      <c r="CO443" s="135"/>
      <c r="CP443" s="135"/>
      <c r="CQ443" s="135"/>
      <c r="CR443" s="135"/>
      <c r="CS443" s="135"/>
      <c r="CT443" s="135"/>
    </row>
    <row r="444" spans="2:98" x14ac:dyDescent="0.4">
      <c r="B444" s="45"/>
      <c r="C444" s="45"/>
      <c r="D444" s="45"/>
      <c r="E444" s="45"/>
      <c r="G444" s="133"/>
      <c r="H444" s="133"/>
      <c r="J444" s="133"/>
      <c r="K444" s="133"/>
      <c r="L444" s="133"/>
      <c r="M444" s="133"/>
      <c r="N444" s="135"/>
      <c r="O444" s="135"/>
      <c r="P444" s="135"/>
      <c r="R444" s="135"/>
      <c r="S444" s="135"/>
      <c r="T444" s="135"/>
      <c r="U444" s="135"/>
      <c r="V444" s="135"/>
      <c r="W444" s="135"/>
      <c r="X444" s="135"/>
      <c r="Y444" s="135"/>
      <c r="Z444" s="135"/>
      <c r="AA444" s="135"/>
      <c r="AB444" s="135"/>
      <c r="AC444" s="135"/>
      <c r="AD444" s="135"/>
      <c r="AE444" s="135"/>
      <c r="AF444" s="135"/>
      <c r="AG444" s="135"/>
      <c r="AH444" s="135"/>
      <c r="AI444" s="135"/>
      <c r="AJ444" s="135"/>
      <c r="AK444" s="135"/>
      <c r="AL444" s="135"/>
      <c r="AM444" s="135"/>
      <c r="AN444" s="135"/>
      <c r="AO444" s="135"/>
      <c r="AP444" s="135"/>
      <c r="AQ444" s="135"/>
      <c r="AR444" s="135"/>
      <c r="AS444" s="135"/>
      <c r="AT444" s="135"/>
      <c r="AU444" s="135"/>
      <c r="AV444" s="135"/>
      <c r="AW444" s="135"/>
      <c r="AX444" s="135"/>
      <c r="AY444" s="135"/>
      <c r="AZ444" s="135"/>
      <c r="BA444" s="135"/>
      <c r="BB444" s="135"/>
      <c r="BC444" s="135"/>
      <c r="BD444" s="135"/>
      <c r="BE444" s="135"/>
      <c r="BF444" s="135"/>
      <c r="BG444" s="135"/>
      <c r="BH444" s="135"/>
      <c r="BI444" s="135"/>
      <c r="BJ444" s="135"/>
      <c r="BK444" s="135"/>
      <c r="BL444" s="135"/>
      <c r="BM444" s="135"/>
      <c r="BN444" s="135"/>
      <c r="BO444" s="135"/>
      <c r="BP444" s="135"/>
      <c r="BQ444" s="135"/>
      <c r="BR444" s="135"/>
      <c r="BS444" s="135"/>
      <c r="BT444" s="135"/>
      <c r="BU444" s="135"/>
      <c r="BV444" s="135"/>
      <c r="BW444" s="135"/>
      <c r="BX444" s="135"/>
      <c r="BY444" s="135"/>
      <c r="BZ444" s="135"/>
      <c r="CA444" s="135"/>
      <c r="CB444" s="135"/>
      <c r="CC444" s="135"/>
      <c r="CD444" s="135"/>
      <c r="CE444" s="135"/>
      <c r="CF444" s="135"/>
      <c r="CG444" s="135"/>
      <c r="CH444" s="135"/>
      <c r="CI444" s="135"/>
      <c r="CJ444" s="135"/>
      <c r="CK444" s="135"/>
      <c r="CL444" s="135"/>
      <c r="CM444" s="135"/>
      <c r="CN444" s="135"/>
      <c r="CO444" s="135"/>
      <c r="CP444" s="135"/>
      <c r="CQ444" s="135"/>
      <c r="CR444" s="135"/>
      <c r="CS444" s="135"/>
      <c r="CT444" s="135"/>
    </row>
    <row r="445" spans="2:98" x14ac:dyDescent="0.4">
      <c r="B445" s="45"/>
      <c r="C445" s="45"/>
      <c r="D445" s="45"/>
      <c r="E445" s="45"/>
      <c r="G445" s="133"/>
      <c r="H445" s="133"/>
      <c r="J445" s="133"/>
      <c r="K445" s="133"/>
      <c r="L445" s="133"/>
      <c r="M445" s="133"/>
      <c r="N445" s="135"/>
      <c r="O445" s="135"/>
      <c r="P445" s="135"/>
      <c r="Q445" s="134"/>
      <c r="R445" s="135"/>
      <c r="S445" s="135"/>
      <c r="T445" s="135"/>
      <c r="U445" s="135"/>
      <c r="V445" s="135"/>
      <c r="W445" s="135"/>
      <c r="X445" s="135"/>
      <c r="Y445" s="135"/>
      <c r="Z445" s="135"/>
      <c r="AA445" s="135"/>
      <c r="AB445" s="135"/>
      <c r="AC445" s="135"/>
      <c r="AD445" s="135"/>
      <c r="AE445" s="135"/>
      <c r="AF445" s="135"/>
      <c r="AG445" s="135"/>
      <c r="AH445" s="135"/>
      <c r="AI445" s="135"/>
      <c r="AJ445" s="135"/>
      <c r="AK445" s="135"/>
      <c r="AL445" s="135"/>
      <c r="AM445" s="135"/>
      <c r="AN445" s="135"/>
      <c r="AO445" s="135"/>
      <c r="AP445" s="135"/>
      <c r="AQ445" s="135"/>
      <c r="AR445" s="135"/>
      <c r="AS445" s="135"/>
      <c r="AT445" s="135"/>
      <c r="AU445" s="135"/>
      <c r="AV445" s="135"/>
      <c r="AW445" s="135"/>
      <c r="AX445" s="135"/>
      <c r="AY445" s="135"/>
      <c r="AZ445" s="135"/>
      <c r="BA445" s="135"/>
      <c r="BB445" s="135"/>
      <c r="BC445" s="135"/>
      <c r="BD445" s="135"/>
      <c r="BE445" s="135"/>
      <c r="BF445" s="135"/>
      <c r="BG445" s="135"/>
      <c r="BH445" s="135"/>
      <c r="BI445" s="135"/>
      <c r="BJ445" s="135"/>
      <c r="BK445" s="135"/>
      <c r="BL445" s="135"/>
      <c r="BM445" s="135"/>
      <c r="BN445" s="135"/>
      <c r="BO445" s="135"/>
      <c r="BP445" s="135"/>
      <c r="BQ445" s="135"/>
      <c r="BR445" s="135"/>
      <c r="BS445" s="135"/>
      <c r="BT445" s="135"/>
      <c r="BU445" s="135"/>
      <c r="BV445" s="135"/>
      <c r="BW445" s="135"/>
      <c r="BX445" s="135"/>
      <c r="BY445" s="135"/>
      <c r="BZ445" s="135"/>
      <c r="CA445" s="135"/>
      <c r="CB445" s="135"/>
      <c r="CC445" s="135"/>
      <c r="CD445" s="135"/>
      <c r="CE445" s="135"/>
      <c r="CF445" s="135"/>
      <c r="CG445" s="135"/>
      <c r="CH445" s="135"/>
      <c r="CI445" s="135"/>
      <c r="CJ445" s="135"/>
      <c r="CK445" s="135"/>
      <c r="CL445" s="135"/>
      <c r="CM445" s="135"/>
      <c r="CN445" s="135"/>
      <c r="CO445" s="135"/>
      <c r="CP445" s="135"/>
      <c r="CQ445" s="135"/>
      <c r="CR445" s="135"/>
      <c r="CS445" s="135"/>
      <c r="CT445" s="135"/>
    </row>
    <row r="446" spans="2:98" x14ac:dyDescent="0.4">
      <c r="B446" s="45"/>
      <c r="C446" s="45"/>
      <c r="D446" s="45"/>
      <c r="E446" s="45"/>
      <c r="G446" s="133"/>
      <c r="H446" s="133"/>
      <c r="J446" s="133"/>
      <c r="K446" s="133"/>
      <c r="L446" s="133"/>
      <c r="M446" s="133"/>
      <c r="N446" s="135"/>
      <c r="O446" s="135"/>
      <c r="P446" s="135"/>
      <c r="Q446" s="134"/>
      <c r="R446" s="135"/>
      <c r="S446" s="135"/>
      <c r="T446" s="135"/>
      <c r="U446" s="135"/>
      <c r="V446" s="135"/>
      <c r="W446" s="135"/>
      <c r="X446" s="135"/>
      <c r="Y446" s="135"/>
      <c r="Z446" s="135"/>
      <c r="AA446" s="135"/>
      <c r="AB446" s="135"/>
      <c r="AC446" s="135"/>
      <c r="AD446" s="135"/>
      <c r="AE446" s="135"/>
      <c r="AF446" s="135"/>
      <c r="AG446" s="135"/>
      <c r="AH446" s="135"/>
      <c r="AI446" s="135"/>
      <c r="AJ446" s="135"/>
      <c r="AK446" s="135"/>
      <c r="AL446" s="135"/>
      <c r="AM446" s="135"/>
      <c r="AN446" s="135"/>
      <c r="AO446" s="135"/>
      <c r="AP446" s="135"/>
      <c r="AQ446" s="135"/>
      <c r="AR446" s="135"/>
      <c r="AS446" s="135"/>
      <c r="AT446" s="135"/>
      <c r="AU446" s="135"/>
      <c r="AV446" s="135"/>
      <c r="AW446" s="135"/>
      <c r="AX446" s="135"/>
      <c r="AY446" s="135"/>
      <c r="AZ446" s="135"/>
      <c r="BA446" s="135"/>
      <c r="BB446" s="135"/>
      <c r="BC446" s="135"/>
      <c r="BD446" s="135"/>
      <c r="BE446" s="135"/>
      <c r="BF446" s="135"/>
      <c r="BG446" s="135"/>
      <c r="BH446" s="135"/>
      <c r="BI446" s="135"/>
      <c r="BJ446" s="135"/>
      <c r="BK446" s="135"/>
      <c r="BL446" s="135"/>
      <c r="BM446" s="135"/>
      <c r="BN446" s="135"/>
      <c r="BO446" s="135"/>
      <c r="BP446" s="135"/>
      <c r="BQ446" s="135"/>
      <c r="BR446" s="135"/>
      <c r="BS446" s="135"/>
      <c r="BT446" s="135"/>
      <c r="BU446" s="135"/>
      <c r="BV446" s="135"/>
      <c r="BW446" s="135"/>
      <c r="BX446" s="135"/>
      <c r="BY446" s="135"/>
      <c r="BZ446" s="135"/>
      <c r="CA446" s="135"/>
      <c r="CB446" s="135"/>
      <c r="CC446" s="135"/>
      <c r="CD446" s="135"/>
      <c r="CE446" s="135"/>
      <c r="CF446" s="135"/>
      <c r="CG446" s="135"/>
      <c r="CH446" s="135"/>
      <c r="CI446" s="135"/>
      <c r="CJ446" s="135"/>
      <c r="CK446" s="135"/>
      <c r="CL446" s="135"/>
      <c r="CM446" s="135"/>
      <c r="CN446" s="135"/>
      <c r="CO446" s="135"/>
      <c r="CP446" s="135"/>
      <c r="CQ446" s="135"/>
      <c r="CR446" s="135"/>
      <c r="CS446" s="135"/>
      <c r="CT446" s="135"/>
    </row>
    <row r="447" spans="2:98" x14ac:dyDescent="0.4">
      <c r="B447" s="45"/>
      <c r="C447" s="45"/>
      <c r="D447" s="45"/>
      <c r="E447" s="45"/>
      <c r="G447" s="133"/>
      <c r="H447" s="133"/>
      <c r="J447" s="133"/>
      <c r="K447" s="133"/>
      <c r="L447" s="133"/>
      <c r="M447" s="133"/>
      <c r="N447" s="135"/>
      <c r="O447" s="135"/>
      <c r="P447" s="135"/>
      <c r="Q447" s="134"/>
      <c r="R447" s="135"/>
      <c r="S447" s="135"/>
      <c r="T447" s="135"/>
      <c r="U447" s="135"/>
      <c r="V447" s="135"/>
      <c r="W447" s="135"/>
      <c r="X447" s="135"/>
      <c r="Y447" s="135"/>
      <c r="Z447" s="135"/>
      <c r="AA447" s="135"/>
      <c r="AB447" s="135"/>
      <c r="AC447" s="135"/>
      <c r="AD447" s="135"/>
      <c r="AE447" s="135"/>
      <c r="AF447" s="135"/>
      <c r="AG447" s="135"/>
      <c r="AH447" s="135"/>
      <c r="AI447" s="135"/>
      <c r="AJ447" s="135"/>
      <c r="AK447" s="135"/>
      <c r="AL447" s="135"/>
      <c r="AM447" s="135"/>
      <c r="AN447" s="135"/>
      <c r="AO447" s="135"/>
      <c r="AP447" s="135"/>
      <c r="AQ447" s="135"/>
      <c r="AR447" s="135"/>
      <c r="AS447" s="135"/>
      <c r="AT447" s="135"/>
      <c r="AU447" s="135"/>
      <c r="AV447" s="135"/>
      <c r="AW447" s="135"/>
      <c r="AX447" s="135"/>
      <c r="AY447" s="135"/>
      <c r="AZ447" s="135"/>
      <c r="BA447" s="135"/>
      <c r="BB447" s="135"/>
      <c r="BC447" s="135"/>
      <c r="BD447" s="135"/>
      <c r="BE447" s="135"/>
      <c r="BF447" s="135"/>
      <c r="BG447" s="135"/>
      <c r="BH447" s="135"/>
      <c r="BI447" s="135"/>
      <c r="BJ447" s="135"/>
      <c r="BK447" s="135"/>
      <c r="BL447" s="135"/>
      <c r="BM447" s="135"/>
      <c r="BN447" s="135"/>
      <c r="BO447" s="135"/>
      <c r="BP447" s="135"/>
      <c r="BQ447" s="135"/>
      <c r="BR447" s="135"/>
      <c r="BS447" s="135"/>
      <c r="BT447" s="135"/>
      <c r="BU447" s="135"/>
      <c r="BV447" s="135"/>
      <c r="BW447" s="135"/>
      <c r="BX447" s="135"/>
      <c r="BY447" s="135"/>
      <c r="BZ447" s="135"/>
      <c r="CA447" s="135"/>
      <c r="CB447" s="135"/>
      <c r="CC447" s="135"/>
      <c r="CD447" s="135"/>
      <c r="CE447" s="135"/>
      <c r="CF447" s="135"/>
      <c r="CG447" s="135"/>
      <c r="CH447" s="135"/>
      <c r="CI447" s="135"/>
      <c r="CJ447" s="135"/>
      <c r="CK447" s="135"/>
      <c r="CL447" s="135"/>
      <c r="CM447" s="135"/>
      <c r="CN447" s="135"/>
      <c r="CO447" s="135"/>
      <c r="CP447" s="135"/>
      <c r="CQ447" s="135"/>
      <c r="CR447" s="135"/>
      <c r="CS447" s="135"/>
      <c r="CT447" s="135"/>
    </row>
    <row r="448" spans="2:98" x14ac:dyDescent="0.4">
      <c r="B448" s="45"/>
      <c r="C448" s="45"/>
      <c r="G448" s="133"/>
      <c r="H448" s="133"/>
      <c r="J448" s="133"/>
      <c r="K448" s="133"/>
      <c r="L448" s="133"/>
      <c r="M448" s="133"/>
      <c r="N448" s="135"/>
      <c r="O448" s="135"/>
      <c r="P448" s="135"/>
      <c r="Q448" s="134"/>
      <c r="R448" s="135"/>
      <c r="S448" s="135"/>
      <c r="T448" s="135"/>
      <c r="U448" s="135"/>
      <c r="V448" s="135"/>
      <c r="W448" s="135"/>
      <c r="X448" s="135"/>
      <c r="Y448" s="135"/>
      <c r="Z448" s="135"/>
      <c r="AA448" s="135"/>
      <c r="AB448" s="135"/>
      <c r="AC448" s="135"/>
      <c r="AD448" s="135"/>
      <c r="AE448" s="135"/>
      <c r="AF448" s="135"/>
      <c r="AG448" s="135"/>
      <c r="AH448" s="135"/>
      <c r="AI448" s="135"/>
      <c r="AJ448" s="135"/>
      <c r="AK448" s="135"/>
      <c r="AL448" s="135"/>
      <c r="AM448" s="135"/>
      <c r="AN448" s="135"/>
      <c r="AO448" s="135"/>
      <c r="AP448" s="135"/>
      <c r="AQ448" s="135"/>
      <c r="AR448" s="135"/>
      <c r="AS448" s="135"/>
      <c r="AT448" s="135"/>
      <c r="AU448" s="135"/>
      <c r="AV448" s="135"/>
      <c r="AW448" s="135"/>
      <c r="AX448" s="135"/>
      <c r="AY448" s="135"/>
      <c r="AZ448" s="135"/>
      <c r="BA448" s="135"/>
      <c r="BB448" s="135"/>
      <c r="BC448" s="135"/>
      <c r="BD448" s="135"/>
      <c r="BE448" s="135"/>
      <c r="BF448" s="135"/>
      <c r="BG448" s="135"/>
      <c r="BH448" s="135"/>
      <c r="BI448" s="135"/>
      <c r="BJ448" s="135"/>
      <c r="BK448" s="135"/>
      <c r="BL448" s="135"/>
      <c r="BM448" s="135"/>
      <c r="BN448" s="135"/>
      <c r="BO448" s="135"/>
      <c r="BP448" s="135"/>
      <c r="BQ448" s="135"/>
      <c r="BR448" s="135"/>
      <c r="BS448" s="135"/>
      <c r="BT448" s="135"/>
      <c r="BU448" s="135"/>
      <c r="BV448" s="135"/>
      <c r="BW448" s="135"/>
      <c r="BX448" s="135"/>
      <c r="BY448" s="135"/>
      <c r="BZ448" s="135"/>
      <c r="CA448" s="135"/>
      <c r="CB448" s="135"/>
      <c r="CC448" s="135"/>
      <c r="CD448" s="135"/>
      <c r="CE448" s="135"/>
      <c r="CF448" s="135"/>
      <c r="CG448" s="135"/>
      <c r="CH448" s="135"/>
      <c r="CI448" s="135"/>
      <c r="CJ448" s="135"/>
      <c r="CK448" s="135"/>
      <c r="CL448" s="135"/>
      <c r="CM448" s="135"/>
      <c r="CN448" s="135"/>
      <c r="CO448" s="135"/>
      <c r="CP448" s="135"/>
      <c r="CQ448" s="135"/>
      <c r="CR448" s="135"/>
      <c r="CS448" s="135"/>
      <c r="CT448" s="135"/>
    </row>
    <row r="449" spans="2:98" x14ac:dyDescent="0.4">
      <c r="B449" s="45"/>
      <c r="C449" s="45"/>
      <c r="G449" s="133"/>
      <c r="H449" s="133"/>
      <c r="J449" s="133"/>
      <c r="K449" s="133"/>
      <c r="L449" s="133"/>
      <c r="M449" s="133"/>
      <c r="N449" s="135"/>
      <c r="O449" s="135"/>
      <c r="P449" s="135"/>
      <c r="Q449" s="134"/>
      <c r="R449" s="135"/>
      <c r="S449" s="135"/>
      <c r="T449" s="135"/>
      <c r="U449" s="135"/>
      <c r="V449" s="135"/>
      <c r="W449" s="135"/>
      <c r="X449" s="135"/>
      <c r="Y449" s="135"/>
      <c r="Z449" s="135"/>
      <c r="AA449" s="135"/>
      <c r="AB449" s="135"/>
      <c r="AC449" s="135"/>
      <c r="AD449" s="135"/>
      <c r="AE449" s="135"/>
      <c r="AF449" s="135"/>
      <c r="AG449" s="135"/>
      <c r="AH449" s="135"/>
      <c r="AI449" s="135"/>
      <c r="AJ449" s="135"/>
      <c r="AK449" s="135"/>
      <c r="AL449" s="135"/>
      <c r="AM449" s="135"/>
      <c r="AN449" s="135"/>
      <c r="AO449" s="135"/>
      <c r="AP449" s="135"/>
      <c r="AQ449" s="135"/>
      <c r="AR449" s="135"/>
      <c r="AS449" s="135"/>
      <c r="AT449" s="135"/>
      <c r="AU449" s="135"/>
      <c r="AV449" s="135"/>
      <c r="AW449" s="135"/>
      <c r="AX449" s="135"/>
      <c r="AY449" s="135"/>
      <c r="AZ449" s="135"/>
      <c r="BA449" s="135"/>
      <c r="BB449" s="135"/>
      <c r="BC449" s="135"/>
      <c r="BD449" s="135"/>
      <c r="BE449" s="135"/>
      <c r="BF449" s="135"/>
      <c r="BG449" s="135"/>
      <c r="BH449" s="135"/>
      <c r="BI449" s="135"/>
      <c r="BJ449" s="135"/>
      <c r="BK449" s="135"/>
      <c r="BL449" s="135"/>
      <c r="BM449" s="135"/>
      <c r="BN449" s="135"/>
      <c r="BO449" s="135"/>
      <c r="BP449" s="135"/>
      <c r="BQ449" s="135"/>
      <c r="BR449" s="135"/>
      <c r="BS449" s="135"/>
      <c r="BT449" s="135"/>
      <c r="BU449" s="135"/>
      <c r="BV449" s="135"/>
      <c r="BW449" s="135"/>
      <c r="BX449" s="135"/>
      <c r="BY449" s="135"/>
      <c r="BZ449" s="135"/>
      <c r="CA449" s="135"/>
      <c r="CB449" s="135"/>
      <c r="CC449" s="135"/>
      <c r="CD449" s="135"/>
      <c r="CE449" s="135"/>
      <c r="CF449" s="135"/>
      <c r="CG449" s="135"/>
      <c r="CH449" s="135"/>
      <c r="CI449" s="135"/>
      <c r="CJ449" s="135"/>
      <c r="CK449" s="135"/>
      <c r="CL449" s="135"/>
      <c r="CM449" s="135"/>
      <c r="CN449" s="135"/>
      <c r="CO449" s="135"/>
      <c r="CP449" s="135"/>
      <c r="CQ449" s="135"/>
      <c r="CR449" s="135"/>
      <c r="CS449" s="135"/>
      <c r="CT449" s="135"/>
    </row>
    <row r="450" spans="2:98" x14ac:dyDescent="0.4">
      <c r="G450" s="133"/>
      <c r="H450" s="133"/>
      <c r="J450" s="133"/>
      <c r="K450" s="133"/>
      <c r="L450" s="133"/>
      <c r="M450" s="133"/>
      <c r="N450" s="135"/>
      <c r="O450" s="135"/>
      <c r="P450" s="135"/>
      <c r="Q450" s="134"/>
      <c r="R450" s="135"/>
      <c r="S450" s="135"/>
      <c r="T450" s="135"/>
      <c r="U450" s="135"/>
      <c r="V450" s="135"/>
      <c r="W450" s="135"/>
      <c r="X450" s="135"/>
      <c r="Y450" s="135"/>
      <c r="Z450" s="135"/>
      <c r="AA450" s="135"/>
      <c r="AB450" s="135"/>
      <c r="AC450" s="135"/>
      <c r="AD450" s="135"/>
      <c r="AE450" s="135"/>
      <c r="AF450" s="135"/>
      <c r="AG450" s="135"/>
      <c r="AH450" s="135"/>
      <c r="AI450" s="135"/>
      <c r="AJ450" s="135"/>
      <c r="AK450" s="135"/>
      <c r="AL450" s="135"/>
      <c r="AM450" s="135"/>
      <c r="AN450" s="135"/>
      <c r="AO450" s="135"/>
      <c r="AP450" s="135"/>
      <c r="AQ450" s="135"/>
      <c r="AR450" s="135"/>
      <c r="AS450" s="135"/>
      <c r="AT450" s="135"/>
      <c r="AU450" s="135"/>
      <c r="AV450" s="135"/>
      <c r="AW450" s="135"/>
      <c r="AX450" s="135"/>
      <c r="AY450" s="135"/>
      <c r="AZ450" s="135"/>
      <c r="BA450" s="135"/>
      <c r="BB450" s="135"/>
      <c r="BC450" s="135"/>
      <c r="BD450" s="135"/>
      <c r="BE450" s="135"/>
      <c r="BF450" s="135"/>
      <c r="BG450" s="135"/>
      <c r="BH450" s="135"/>
      <c r="BI450" s="135"/>
      <c r="BJ450" s="135"/>
      <c r="BK450" s="135"/>
      <c r="BL450" s="135"/>
      <c r="BM450" s="135"/>
      <c r="BN450" s="135"/>
      <c r="BO450" s="135"/>
      <c r="BP450" s="135"/>
      <c r="BQ450" s="135"/>
      <c r="BR450" s="135"/>
      <c r="BS450" s="135"/>
      <c r="BT450" s="135"/>
      <c r="BU450" s="135"/>
      <c r="BV450" s="135"/>
      <c r="BW450" s="135"/>
      <c r="BX450" s="135"/>
      <c r="BY450" s="135"/>
      <c r="BZ450" s="135"/>
      <c r="CA450" s="135"/>
      <c r="CB450" s="135"/>
      <c r="CC450" s="135"/>
      <c r="CD450" s="135"/>
      <c r="CE450" s="135"/>
      <c r="CF450" s="135"/>
      <c r="CG450" s="135"/>
      <c r="CH450" s="135"/>
      <c r="CI450" s="135"/>
      <c r="CJ450" s="135"/>
      <c r="CK450" s="135"/>
      <c r="CL450" s="135"/>
      <c r="CM450" s="135"/>
      <c r="CN450" s="135"/>
      <c r="CO450" s="135"/>
      <c r="CP450" s="135"/>
      <c r="CQ450" s="135"/>
      <c r="CR450" s="135"/>
      <c r="CS450" s="135"/>
      <c r="CT450" s="135"/>
    </row>
    <row r="451" spans="2:98" x14ac:dyDescent="0.4">
      <c r="G451" s="133"/>
      <c r="H451" s="133"/>
      <c r="J451" s="133"/>
      <c r="K451" s="133"/>
      <c r="L451" s="133"/>
      <c r="M451" s="133"/>
      <c r="N451" s="135"/>
      <c r="O451" s="135"/>
      <c r="P451" s="135"/>
      <c r="Q451" s="134"/>
      <c r="R451" s="135"/>
      <c r="S451" s="135"/>
      <c r="T451" s="135"/>
      <c r="U451" s="135"/>
      <c r="V451" s="135"/>
      <c r="W451" s="135"/>
      <c r="X451" s="135"/>
      <c r="Y451" s="135"/>
      <c r="Z451" s="135"/>
      <c r="AA451" s="135"/>
      <c r="AB451" s="135"/>
      <c r="AC451" s="135"/>
      <c r="AD451" s="135"/>
      <c r="AE451" s="135"/>
      <c r="AF451" s="135"/>
      <c r="AG451" s="135"/>
      <c r="AH451" s="135"/>
      <c r="AI451" s="135"/>
      <c r="AJ451" s="135"/>
      <c r="AK451" s="135"/>
      <c r="AL451" s="135"/>
      <c r="AM451" s="135"/>
      <c r="AN451" s="135"/>
      <c r="AO451" s="135"/>
      <c r="AP451" s="135"/>
      <c r="AQ451" s="135"/>
      <c r="AR451" s="135"/>
      <c r="AS451" s="135"/>
      <c r="AT451" s="135"/>
      <c r="AU451" s="135"/>
      <c r="AV451" s="135"/>
      <c r="AW451" s="135"/>
      <c r="AX451" s="135"/>
      <c r="AY451" s="135"/>
      <c r="AZ451" s="135"/>
      <c r="BA451" s="135"/>
      <c r="BB451" s="135"/>
      <c r="BC451" s="135"/>
      <c r="BD451" s="135"/>
      <c r="BE451" s="135"/>
      <c r="BF451" s="135"/>
      <c r="BG451" s="135"/>
      <c r="BH451" s="135"/>
      <c r="BI451" s="135"/>
      <c r="BJ451" s="135"/>
      <c r="BK451" s="135"/>
      <c r="BL451" s="135"/>
      <c r="BM451" s="135"/>
      <c r="BN451" s="135"/>
      <c r="BO451" s="135"/>
      <c r="BP451" s="135"/>
      <c r="BQ451" s="135"/>
      <c r="BR451" s="135"/>
      <c r="BS451" s="135"/>
      <c r="BT451" s="135"/>
      <c r="BU451" s="135"/>
      <c r="BV451" s="135"/>
      <c r="BW451" s="135"/>
      <c r="BX451" s="135"/>
      <c r="BY451" s="135"/>
      <c r="BZ451" s="135"/>
      <c r="CA451" s="135"/>
      <c r="CB451" s="135"/>
      <c r="CC451" s="135"/>
      <c r="CD451" s="135"/>
      <c r="CE451" s="135"/>
      <c r="CF451" s="135"/>
      <c r="CG451" s="135"/>
      <c r="CH451" s="135"/>
      <c r="CI451" s="135"/>
      <c r="CJ451" s="135"/>
      <c r="CK451" s="135"/>
      <c r="CL451" s="135"/>
      <c r="CM451" s="135"/>
      <c r="CN451" s="135"/>
      <c r="CO451" s="135"/>
      <c r="CP451" s="135"/>
      <c r="CQ451" s="135"/>
      <c r="CR451" s="135"/>
      <c r="CS451" s="135"/>
      <c r="CT451" s="135"/>
    </row>
    <row r="452" spans="2:98" x14ac:dyDescent="0.4">
      <c r="G452" s="133"/>
      <c r="H452" s="133"/>
      <c r="J452" s="133"/>
      <c r="K452" s="133"/>
      <c r="L452" s="133"/>
      <c r="M452" s="133"/>
      <c r="N452" s="135"/>
      <c r="O452" s="135"/>
      <c r="P452" s="135"/>
      <c r="Q452" s="134"/>
      <c r="R452" s="135"/>
      <c r="S452" s="135"/>
      <c r="T452" s="135"/>
      <c r="U452" s="135"/>
      <c r="V452" s="135"/>
      <c r="W452" s="135"/>
      <c r="X452" s="135"/>
      <c r="Y452" s="135"/>
      <c r="Z452" s="135"/>
      <c r="AA452" s="135"/>
      <c r="AB452" s="135"/>
      <c r="AC452" s="135"/>
      <c r="AD452" s="135"/>
      <c r="AE452" s="135"/>
      <c r="AF452" s="135"/>
      <c r="AG452" s="135"/>
      <c r="AH452" s="135"/>
      <c r="AI452" s="135"/>
      <c r="AJ452" s="135"/>
      <c r="AK452" s="135"/>
      <c r="AL452" s="135"/>
      <c r="AM452" s="135"/>
      <c r="AN452" s="135"/>
      <c r="AO452" s="135"/>
      <c r="AP452" s="135"/>
      <c r="AQ452" s="135"/>
      <c r="AR452" s="135"/>
      <c r="AS452" s="135"/>
      <c r="AT452" s="135"/>
      <c r="AU452" s="135"/>
      <c r="AV452" s="135"/>
      <c r="AW452" s="135"/>
      <c r="AX452" s="135"/>
      <c r="AY452" s="135"/>
      <c r="AZ452" s="135"/>
      <c r="BA452" s="135"/>
      <c r="BB452" s="135"/>
      <c r="BC452" s="135"/>
      <c r="BD452" s="135"/>
      <c r="BE452" s="135"/>
      <c r="BF452" s="135"/>
      <c r="BG452" s="135"/>
      <c r="BH452" s="135"/>
      <c r="BI452" s="135"/>
      <c r="BJ452" s="135"/>
      <c r="BK452" s="135"/>
      <c r="BL452" s="135"/>
      <c r="BM452" s="135"/>
      <c r="BN452" s="135"/>
      <c r="BO452" s="135"/>
      <c r="BP452" s="135"/>
      <c r="BQ452" s="135"/>
      <c r="BR452" s="135"/>
      <c r="BS452" s="135"/>
      <c r="BT452" s="135"/>
      <c r="BU452" s="135"/>
      <c r="BV452" s="135"/>
      <c r="BW452" s="135"/>
      <c r="BX452" s="135"/>
      <c r="BY452" s="135"/>
      <c r="BZ452" s="135"/>
      <c r="CA452" s="135"/>
      <c r="CB452" s="135"/>
      <c r="CC452" s="135"/>
      <c r="CD452" s="135"/>
      <c r="CE452" s="135"/>
      <c r="CF452" s="135"/>
      <c r="CG452" s="135"/>
      <c r="CH452" s="135"/>
      <c r="CI452" s="135"/>
      <c r="CJ452" s="135"/>
      <c r="CK452" s="135"/>
      <c r="CL452" s="135"/>
      <c r="CM452" s="135"/>
      <c r="CN452" s="135"/>
      <c r="CO452" s="135"/>
      <c r="CP452" s="135"/>
      <c r="CQ452" s="135"/>
      <c r="CR452" s="135"/>
      <c r="CS452" s="135"/>
      <c r="CT452" s="135"/>
    </row>
    <row r="453" spans="2:98" x14ac:dyDescent="0.4">
      <c r="G453" s="133"/>
      <c r="H453" s="133"/>
      <c r="J453" s="133"/>
      <c r="K453" s="133"/>
      <c r="L453" s="133"/>
      <c r="M453" s="133"/>
      <c r="N453" s="135"/>
      <c r="O453" s="135"/>
      <c r="P453" s="135"/>
      <c r="Q453" s="134"/>
      <c r="R453" s="135"/>
      <c r="S453" s="135"/>
      <c r="T453" s="135"/>
      <c r="U453" s="135"/>
      <c r="V453" s="135"/>
      <c r="W453" s="135"/>
      <c r="X453" s="135"/>
      <c r="Y453" s="135"/>
      <c r="Z453" s="135"/>
      <c r="AA453" s="135"/>
      <c r="AB453" s="135"/>
      <c r="AC453" s="135"/>
      <c r="AD453" s="135"/>
      <c r="AE453" s="135"/>
      <c r="AF453" s="135"/>
      <c r="AG453" s="135"/>
      <c r="AH453" s="135"/>
      <c r="AI453" s="135"/>
      <c r="AJ453" s="135"/>
      <c r="AK453" s="135"/>
      <c r="AL453" s="135"/>
      <c r="AM453" s="135"/>
      <c r="AN453" s="135"/>
      <c r="AO453" s="135"/>
      <c r="AP453" s="135"/>
      <c r="AQ453" s="135"/>
      <c r="AR453" s="135"/>
      <c r="AS453" s="135"/>
      <c r="AT453" s="135"/>
      <c r="AU453" s="135"/>
      <c r="AV453" s="135"/>
      <c r="AW453" s="135"/>
      <c r="AX453" s="135"/>
      <c r="AY453" s="135"/>
      <c r="AZ453" s="135"/>
      <c r="BA453" s="135"/>
      <c r="BB453" s="135"/>
      <c r="BC453" s="135"/>
      <c r="BD453" s="135"/>
      <c r="BE453" s="135"/>
      <c r="BF453" s="135"/>
      <c r="BG453" s="135"/>
      <c r="BH453" s="135"/>
      <c r="BI453" s="135"/>
      <c r="BJ453" s="135"/>
      <c r="BK453" s="135"/>
      <c r="BL453" s="135"/>
      <c r="BM453" s="135"/>
      <c r="BN453" s="135"/>
      <c r="BO453" s="135"/>
      <c r="BP453" s="135"/>
      <c r="BQ453" s="135"/>
      <c r="BR453" s="135"/>
      <c r="BS453" s="135"/>
      <c r="BT453" s="135"/>
      <c r="BU453" s="135"/>
      <c r="BV453" s="135"/>
      <c r="BW453" s="135"/>
      <c r="BX453" s="135"/>
      <c r="BY453" s="135"/>
      <c r="BZ453" s="135"/>
      <c r="CA453" s="135"/>
      <c r="CB453" s="135"/>
      <c r="CC453" s="135"/>
      <c r="CD453" s="135"/>
      <c r="CE453" s="135"/>
      <c r="CF453" s="135"/>
      <c r="CG453" s="135"/>
      <c r="CH453" s="135"/>
      <c r="CI453" s="135"/>
      <c r="CJ453" s="135"/>
      <c r="CK453" s="135"/>
      <c r="CL453" s="135"/>
      <c r="CM453" s="135"/>
      <c r="CN453" s="135"/>
      <c r="CO453" s="135"/>
      <c r="CP453" s="135"/>
      <c r="CQ453" s="135"/>
      <c r="CR453" s="135"/>
      <c r="CS453" s="135"/>
      <c r="CT453" s="135"/>
    </row>
    <row r="454" spans="2:98" x14ac:dyDescent="0.4">
      <c r="N454" s="135"/>
      <c r="O454" s="135"/>
      <c r="P454" s="135"/>
      <c r="Q454" s="134"/>
      <c r="R454" s="135"/>
      <c r="S454" s="135"/>
      <c r="T454" s="135"/>
      <c r="U454" s="135"/>
      <c r="V454" s="135"/>
      <c r="W454" s="135"/>
      <c r="X454" s="135"/>
      <c r="Y454" s="135"/>
      <c r="Z454" s="135"/>
      <c r="AA454" s="135"/>
      <c r="AB454" s="135"/>
      <c r="AC454" s="135"/>
      <c r="AD454" s="135"/>
      <c r="AE454" s="135"/>
      <c r="AF454" s="135"/>
      <c r="AG454" s="135"/>
      <c r="AH454" s="135"/>
      <c r="AI454" s="135"/>
      <c r="AJ454" s="135"/>
      <c r="AK454" s="135"/>
      <c r="AL454" s="135"/>
      <c r="AM454" s="135"/>
      <c r="AN454" s="135"/>
      <c r="AO454" s="135"/>
      <c r="AP454" s="135"/>
      <c r="AQ454" s="135"/>
      <c r="AR454" s="135"/>
      <c r="AS454" s="135"/>
      <c r="AT454" s="135"/>
      <c r="AU454" s="135"/>
      <c r="AV454" s="135"/>
      <c r="AW454" s="135"/>
      <c r="AX454" s="135"/>
      <c r="AY454" s="135"/>
      <c r="AZ454" s="135"/>
      <c r="BA454" s="135"/>
      <c r="BB454" s="135"/>
      <c r="BC454" s="135"/>
      <c r="BD454" s="135"/>
      <c r="BE454" s="135"/>
      <c r="BF454" s="135"/>
      <c r="BG454" s="135"/>
      <c r="BH454" s="135"/>
      <c r="BI454" s="135"/>
      <c r="BJ454" s="135"/>
      <c r="BK454" s="135"/>
      <c r="BL454" s="135"/>
      <c r="BM454" s="135"/>
      <c r="BN454" s="135"/>
      <c r="BO454" s="135"/>
      <c r="BP454" s="135"/>
      <c r="BQ454" s="135"/>
      <c r="BR454" s="135"/>
      <c r="BS454" s="135"/>
      <c r="BT454" s="135"/>
      <c r="BU454" s="135"/>
      <c r="BV454" s="135"/>
      <c r="BW454" s="135"/>
      <c r="BX454" s="135"/>
      <c r="BY454" s="135"/>
      <c r="BZ454" s="135"/>
      <c r="CA454" s="135"/>
      <c r="CB454" s="135"/>
      <c r="CC454" s="135"/>
      <c r="CD454" s="135"/>
      <c r="CE454" s="135"/>
      <c r="CF454" s="135"/>
      <c r="CG454" s="135"/>
      <c r="CH454" s="135"/>
      <c r="CI454" s="135"/>
      <c r="CJ454" s="135"/>
      <c r="CK454" s="135"/>
      <c r="CL454" s="135"/>
      <c r="CM454" s="135"/>
      <c r="CN454" s="135"/>
      <c r="CO454" s="135"/>
      <c r="CP454" s="135"/>
      <c r="CQ454" s="135"/>
      <c r="CR454" s="135"/>
      <c r="CS454" s="135"/>
      <c r="CT454" s="135"/>
    </row>
    <row r="455" spans="2:98" x14ac:dyDescent="0.4">
      <c r="N455" s="135"/>
      <c r="O455" s="135"/>
      <c r="P455" s="135"/>
      <c r="Q455" s="134"/>
      <c r="R455" s="135"/>
      <c r="S455" s="135"/>
      <c r="T455" s="135"/>
      <c r="U455" s="135"/>
      <c r="V455" s="135"/>
      <c r="W455" s="135"/>
      <c r="X455" s="135"/>
      <c r="Y455" s="135"/>
      <c r="Z455" s="135"/>
      <c r="AA455" s="135"/>
      <c r="AB455" s="135"/>
      <c r="AC455" s="135"/>
      <c r="AD455" s="135"/>
      <c r="AE455" s="135"/>
      <c r="AF455" s="135"/>
      <c r="AG455" s="135"/>
      <c r="AH455" s="135"/>
      <c r="AI455" s="135"/>
      <c r="AJ455" s="135"/>
      <c r="AK455" s="135"/>
      <c r="AL455" s="135"/>
      <c r="AM455" s="135"/>
      <c r="AN455" s="135"/>
      <c r="AO455" s="135"/>
      <c r="AP455" s="135"/>
      <c r="AQ455" s="135"/>
      <c r="AR455" s="135"/>
      <c r="AS455" s="135"/>
      <c r="AT455" s="135"/>
      <c r="AU455" s="135"/>
      <c r="AV455" s="135"/>
      <c r="AW455" s="135"/>
      <c r="AX455" s="135"/>
      <c r="AY455" s="135"/>
      <c r="AZ455" s="135"/>
      <c r="BA455" s="135"/>
      <c r="BB455" s="135"/>
      <c r="BC455" s="135"/>
      <c r="BD455" s="135"/>
      <c r="BE455" s="135"/>
      <c r="BF455" s="135"/>
      <c r="BG455" s="135"/>
      <c r="BH455" s="135"/>
      <c r="BI455" s="135"/>
      <c r="BJ455" s="135"/>
      <c r="BK455" s="135"/>
      <c r="BL455" s="135"/>
      <c r="BM455" s="135"/>
      <c r="BN455" s="135"/>
      <c r="BO455" s="135"/>
      <c r="BP455" s="135"/>
      <c r="BQ455" s="135"/>
      <c r="BR455" s="135"/>
      <c r="BS455" s="135"/>
      <c r="BT455" s="135"/>
      <c r="BU455" s="135"/>
      <c r="BV455" s="135"/>
      <c r="BW455" s="135"/>
      <c r="BX455" s="135"/>
      <c r="BY455" s="135"/>
      <c r="BZ455" s="135"/>
      <c r="CA455" s="135"/>
      <c r="CB455" s="135"/>
      <c r="CC455" s="135"/>
      <c r="CD455" s="135"/>
      <c r="CE455" s="135"/>
      <c r="CF455" s="135"/>
      <c r="CG455" s="135"/>
      <c r="CH455" s="135"/>
      <c r="CI455" s="135"/>
      <c r="CJ455" s="135"/>
      <c r="CK455" s="135"/>
      <c r="CL455" s="135"/>
      <c r="CM455" s="135"/>
      <c r="CN455" s="135"/>
      <c r="CO455" s="135"/>
      <c r="CP455" s="135"/>
      <c r="CQ455" s="135"/>
      <c r="CR455" s="135"/>
      <c r="CS455" s="135"/>
      <c r="CT455" s="135"/>
    </row>
    <row r="456" spans="2:98" x14ac:dyDescent="0.4">
      <c r="N456" s="135"/>
      <c r="O456" s="135"/>
      <c r="P456" s="135"/>
      <c r="Q456" s="134"/>
      <c r="R456" s="135"/>
      <c r="S456" s="135"/>
      <c r="T456" s="135"/>
      <c r="U456" s="135"/>
      <c r="V456" s="135"/>
      <c r="W456" s="135"/>
      <c r="X456" s="135"/>
      <c r="Y456" s="135"/>
      <c r="Z456" s="135"/>
      <c r="AA456" s="135"/>
      <c r="AB456" s="135"/>
      <c r="AC456" s="135"/>
      <c r="AD456" s="135"/>
      <c r="AE456" s="135"/>
      <c r="AF456" s="135"/>
      <c r="AG456" s="135"/>
      <c r="AH456" s="135"/>
      <c r="AI456" s="135"/>
      <c r="AJ456" s="135"/>
      <c r="AK456" s="135"/>
      <c r="AL456" s="135"/>
      <c r="AM456" s="135"/>
      <c r="AN456" s="135"/>
      <c r="AO456" s="135"/>
      <c r="AP456" s="135"/>
      <c r="AQ456" s="135"/>
      <c r="AR456" s="135"/>
      <c r="AS456" s="135"/>
      <c r="AT456" s="135"/>
      <c r="AU456" s="135"/>
      <c r="AV456" s="135"/>
      <c r="AW456" s="135"/>
      <c r="AX456" s="135"/>
      <c r="AY456" s="135"/>
      <c r="AZ456" s="135"/>
      <c r="BA456" s="135"/>
      <c r="BB456" s="135"/>
      <c r="BC456" s="135"/>
      <c r="BD456" s="135"/>
      <c r="BE456" s="135"/>
      <c r="BF456" s="135"/>
      <c r="BG456" s="135"/>
      <c r="BH456" s="135"/>
      <c r="BI456" s="135"/>
      <c r="BJ456" s="135"/>
      <c r="BK456" s="135"/>
      <c r="BL456" s="135"/>
      <c r="BM456" s="135"/>
      <c r="BN456" s="135"/>
      <c r="BO456" s="135"/>
      <c r="BP456" s="135"/>
      <c r="BQ456" s="135"/>
      <c r="BR456" s="135"/>
      <c r="BS456" s="135"/>
      <c r="BT456" s="135"/>
      <c r="BU456" s="135"/>
      <c r="BV456" s="135"/>
      <c r="BW456" s="135"/>
      <c r="BX456" s="135"/>
      <c r="BY456" s="135"/>
      <c r="BZ456" s="135"/>
      <c r="CA456" s="135"/>
      <c r="CB456" s="135"/>
      <c r="CC456" s="135"/>
      <c r="CD456" s="135"/>
      <c r="CE456" s="135"/>
      <c r="CF456" s="135"/>
      <c r="CG456" s="135"/>
      <c r="CH456" s="135"/>
      <c r="CI456" s="135"/>
      <c r="CJ456" s="135"/>
      <c r="CK456" s="135"/>
      <c r="CL456" s="135"/>
      <c r="CM456" s="135"/>
      <c r="CN456" s="135"/>
      <c r="CO456" s="135"/>
      <c r="CP456" s="135"/>
      <c r="CQ456" s="135"/>
      <c r="CR456" s="135"/>
      <c r="CS456" s="135"/>
      <c r="CT456" s="135"/>
    </row>
    <row r="457" spans="2:98" x14ac:dyDescent="0.4">
      <c r="N457" s="135"/>
      <c r="O457" s="135"/>
      <c r="P457" s="135"/>
      <c r="Q457" s="134"/>
      <c r="R457" s="135"/>
      <c r="S457" s="135"/>
      <c r="T457" s="135"/>
      <c r="U457" s="135"/>
      <c r="V457" s="135"/>
      <c r="W457" s="135"/>
      <c r="X457" s="135"/>
      <c r="Y457" s="135"/>
      <c r="Z457" s="135"/>
      <c r="AA457" s="135"/>
      <c r="AB457" s="135"/>
      <c r="AC457" s="135"/>
      <c r="AD457" s="135"/>
      <c r="AE457" s="135"/>
      <c r="AF457" s="135"/>
      <c r="AG457" s="135"/>
      <c r="AH457" s="135"/>
      <c r="AI457" s="135"/>
      <c r="AJ457" s="135"/>
      <c r="AK457" s="135"/>
      <c r="AL457" s="135"/>
      <c r="AM457" s="135"/>
      <c r="AN457" s="135"/>
      <c r="AO457" s="135"/>
      <c r="AP457" s="135"/>
      <c r="AQ457" s="135"/>
      <c r="AR457" s="135"/>
      <c r="AS457" s="135"/>
      <c r="AT457" s="135"/>
      <c r="AU457" s="135"/>
      <c r="AV457" s="135"/>
      <c r="AW457" s="135"/>
      <c r="AX457" s="135"/>
      <c r="AY457" s="135"/>
      <c r="AZ457" s="135"/>
      <c r="BA457" s="135"/>
      <c r="BB457" s="135"/>
      <c r="BC457" s="135"/>
      <c r="BD457" s="135"/>
      <c r="BE457" s="135"/>
      <c r="BF457" s="135"/>
      <c r="BG457" s="135"/>
      <c r="BH457" s="135"/>
      <c r="BI457" s="135"/>
      <c r="BJ457" s="135"/>
      <c r="BK457" s="135"/>
      <c r="BL457" s="135"/>
      <c r="BM457" s="135"/>
      <c r="BN457" s="135"/>
      <c r="BO457" s="135"/>
      <c r="BP457" s="135"/>
      <c r="BQ457" s="135"/>
      <c r="BR457" s="135"/>
      <c r="BS457" s="135"/>
      <c r="BT457" s="135"/>
      <c r="BU457" s="135"/>
      <c r="BV457" s="135"/>
      <c r="BW457" s="135"/>
      <c r="BX457" s="135"/>
      <c r="BY457" s="135"/>
      <c r="BZ457" s="135"/>
      <c r="CA457" s="135"/>
      <c r="CB457" s="135"/>
      <c r="CC457" s="135"/>
      <c r="CD457" s="135"/>
      <c r="CE457" s="135"/>
      <c r="CF457" s="135"/>
      <c r="CG457" s="135"/>
      <c r="CH457" s="135"/>
      <c r="CI457" s="135"/>
      <c r="CJ457" s="135"/>
      <c r="CK457" s="135"/>
      <c r="CL457" s="135"/>
      <c r="CM457" s="135"/>
      <c r="CN457" s="135"/>
      <c r="CO457" s="135"/>
      <c r="CP457" s="135"/>
      <c r="CQ457" s="135"/>
      <c r="CR457" s="135"/>
      <c r="CS457" s="135"/>
      <c r="CT457" s="135"/>
    </row>
    <row r="458" spans="2:98" x14ac:dyDescent="0.4">
      <c r="N458" s="135"/>
      <c r="O458" s="135"/>
      <c r="P458" s="135"/>
      <c r="Q458" s="134"/>
      <c r="R458" s="135"/>
      <c r="S458" s="135"/>
      <c r="T458" s="135"/>
      <c r="U458" s="135"/>
      <c r="V458" s="135"/>
      <c r="W458" s="135"/>
      <c r="X458" s="135"/>
      <c r="Y458" s="135"/>
      <c r="Z458" s="135"/>
      <c r="AA458" s="135"/>
      <c r="AB458" s="135"/>
      <c r="AC458" s="135"/>
      <c r="AD458" s="135"/>
      <c r="AE458" s="135"/>
      <c r="AF458" s="135"/>
      <c r="AG458" s="135"/>
      <c r="AH458" s="135"/>
      <c r="AI458" s="135"/>
      <c r="AJ458" s="135"/>
      <c r="AK458" s="135"/>
      <c r="AL458" s="135"/>
      <c r="AM458" s="135"/>
      <c r="AN458" s="135"/>
      <c r="AO458" s="135"/>
      <c r="AP458" s="135"/>
      <c r="AQ458" s="135"/>
      <c r="AR458" s="135"/>
      <c r="AS458" s="135"/>
      <c r="AT458" s="135"/>
      <c r="AU458" s="135"/>
      <c r="AV458" s="135"/>
      <c r="AW458" s="135"/>
      <c r="AX458" s="135"/>
      <c r="AY458" s="135"/>
      <c r="AZ458" s="135"/>
      <c r="BA458" s="135"/>
      <c r="BB458" s="135"/>
      <c r="BC458" s="135"/>
      <c r="BD458" s="135"/>
      <c r="BE458" s="135"/>
      <c r="BF458" s="135"/>
      <c r="BG458" s="135"/>
      <c r="BH458" s="135"/>
      <c r="BI458" s="135"/>
      <c r="BJ458" s="135"/>
      <c r="BK458" s="135"/>
      <c r="BL458" s="135"/>
      <c r="BM458" s="135"/>
      <c r="BN458" s="135"/>
      <c r="BO458" s="135"/>
      <c r="BP458" s="135"/>
      <c r="BQ458" s="135"/>
      <c r="BR458" s="135"/>
      <c r="BS458" s="135"/>
      <c r="BT458" s="135"/>
      <c r="BU458" s="135"/>
      <c r="BV458" s="135"/>
      <c r="BW458" s="135"/>
      <c r="BX458" s="135"/>
      <c r="BY458" s="135"/>
      <c r="BZ458" s="135"/>
      <c r="CA458" s="135"/>
      <c r="CB458" s="135"/>
      <c r="CC458" s="135"/>
      <c r="CD458" s="135"/>
      <c r="CE458" s="135"/>
      <c r="CF458" s="135"/>
      <c r="CG458" s="135"/>
      <c r="CH458" s="135"/>
      <c r="CI458" s="135"/>
      <c r="CJ458" s="135"/>
      <c r="CK458" s="135"/>
      <c r="CL458" s="135"/>
      <c r="CM458" s="135"/>
      <c r="CN458" s="135"/>
      <c r="CO458" s="135"/>
      <c r="CP458" s="135"/>
      <c r="CQ458" s="135"/>
      <c r="CR458" s="135"/>
      <c r="CS458" s="135"/>
      <c r="CT458" s="135"/>
    </row>
    <row r="459" spans="2:98" x14ac:dyDescent="0.4">
      <c r="N459" s="135"/>
      <c r="O459" s="135"/>
      <c r="P459" s="135"/>
      <c r="Q459" s="134"/>
      <c r="R459" s="135"/>
      <c r="S459" s="135"/>
      <c r="T459" s="135"/>
      <c r="U459" s="135"/>
      <c r="V459" s="135"/>
      <c r="W459" s="135"/>
      <c r="X459" s="135"/>
      <c r="Y459" s="135"/>
      <c r="Z459" s="135"/>
      <c r="AA459" s="135"/>
      <c r="AB459" s="135"/>
      <c r="AC459" s="135"/>
      <c r="AD459" s="135"/>
      <c r="AE459" s="135"/>
      <c r="AF459" s="135"/>
      <c r="AG459" s="135"/>
      <c r="AH459" s="135"/>
      <c r="AI459" s="135"/>
      <c r="AJ459" s="135"/>
      <c r="AK459" s="135"/>
      <c r="AL459" s="135"/>
      <c r="AM459" s="135"/>
      <c r="AN459" s="135"/>
      <c r="AO459" s="135"/>
      <c r="AP459" s="135"/>
      <c r="AQ459" s="135"/>
      <c r="AR459" s="135"/>
      <c r="AS459" s="135"/>
      <c r="AT459" s="135"/>
      <c r="AU459" s="135"/>
      <c r="AV459" s="135"/>
      <c r="AW459" s="135"/>
      <c r="AX459" s="135"/>
      <c r="AY459" s="135"/>
      <c r="AZ459" s="135"/>
      <c r="BA459" s="135"/>
      <c r="BB459" s="135"/>
      <c r="BC459" s="135"/>
      <c r="BD459" s="135"/>
      <c r="BE459" s="135"/>
      <c r="BF459" s="135"/>
      <c r="BG459" s="135"/>
      <c r="BH459" s="135"/>
      <c r="BI459" s="135"/>
      <c r="BJ459" s="135"/>
      <c r="BK459" s="135"/>
      <c r="BL459" s="135"/>
      <c r="BM459" s="135"/>
      <c r="BN459" s="135"/>
      <c r="BO459" s="135"/>
      <c r="BP459" s="135"/>
      <c r="BQ459" s="135"/>
      <c r="BR459" s="135"/>
      <c r="BS459" s="135"/>
      <c r="BT459" s="135"/>
      <c r="BU459" s="135"/>
      <c r="BV459" s="135"/>
      <c r="BW459" s="135"/>
      <c r="BX459" s="135"/>
      <c r="BY459" s="135"/>
      <c r="BZ459" s="135"/>
      <c r="CA459" s="135"/>
      <c r="CB459" s="135"/>
      <c r="CC459" s="135"/>
      <c r="CD459" s="135"/>
      <c r="CE459" s="135"/>
      <c r="CF459" s="135"/>
      <c r="CG459" s="135"/>
      <c r="CH459" s="135"/>
      <c r="CI459" s="135"/>
      <c r="CJ459" s="135"/>
      <c r="CK459" s="135"/>
      <c r="CL459" s="135"/>
      <c r="CM459" s="135"/>
      <c r="CN459" s="135"/>
      <c r="CO459" s="135"/>
      <c r="CP459" s="135"/>
      <c r="CQ459" s="135"/>
      <c r="CR459" s="135"/>
      <c r="CS459" s="135"/>
      <c r="CT459" s="135"/>
    </row>
    <row r="460" spans="2:98" x14ac:dyDescent="0.4">
      <c r="N460" s="135"/>
      <c r="O460" s="135"/>
      <c r="P460" s="135"/>
      <c r="Q460" s="134"/>
      <c r="R460" s="135"/>
      <c r="S460" s="135"/>
      <c r="T460" s="135"/>
      <c r="U460" s="135"/>
      <c r="V460" s="135"/>
      <c r="W460" s="135"/>
      <c r="X460" s="135"/>
      <c r="Y460" s="135"/>
      <c r="Z460" s="135"/>
      <c r="AA460" s="135"/>
      <c r="AB460" s="135"/>
      <c r="AC460" s="135"/>
      <c r="AD460" s="135"/>
      <c r="AE460" s="135"/>
      <c r="AF460" s="135"/>
      <c r="AG460" s="135"/>
      <c r="AH460" s="135"/>
      <c r="AI460" s="135"/>
      <c r="AJ460" s="135"/>
      <c r="AK460" s="135"/>
      <c r="AL460" s="135"/>
      <c r="AM460" s="135"/>
      <c r="AN460" s="135"/>
      <c r="AO460" s="135"/>
      <c r="AP460" s="135"/>
      <c r="AQ460" s="135"/>
      <c r="AR460" s="135"/>
      <c r="AS460" s="135"/>
      <c r="AT460" s="135"/>
      <c r="AU460" s="135"/>
      <c r="AV460" s="135"/>
      <c r="AW460" s="135"/>
      <c r="AX460" s="135"/>
      <c r="AY460" s="135"/>
      <c r="AZ460" s="135"/>
      <c r="BA460" s="135"/>
      <c r="BB460" s="135"/>
      <c r="BC460" s="135"/>
      <c r="BD460" s="135"/>
      <c r="BE460" s="135"/>
      <c r="BF460" s="135"/>
      <c r="BG460" s="135"/>
      <c r="BH460" s="135"/>
      <c r="BI460" s="135"/>
      <c r="BJ460" s="135"/>
      <c r="BK460" s="135"/>
      <c r="BL460" s="135"/>
      <c r="BM460" s="135"/>
      <c r="BN460" s="135"/>
      <c r="BO460" s="135"/>
      <c r="BP460" s="135"/>
      <c r="BQ460" s="135"/>
      <c r="BR460" s="135"/>
      <c r="BS460" s="135"/>
      <c r="BT460" s="135"/>
      <c r="BU460" s="135"/>
      <c r="BV460" s="135"/>
      <c r="BW460" s="135"/>
      <c r="BX460" s="135"/>
      <c r="BY460" s="135"/>
      <c r="BZ460" s="135"/>
      <c r="CA460" s="135"/>
      <c r="CB460" s="135"/>
      <c r="CC460" s="135"/>
      <c r="CD460" s="135"/>
      <c r="CE460" s="135"/>
      <c r="CF460" s="135"/>
      <c r="CG460" s="135"/>
      <c r="CH460" s="135"/>
      <c r="CI460" s="135"/>
      <c r="CJ460" s="135"/>
      <c r="CK460" s="135"/>
      <c r="CL460" s="135"/>
      <c r="CM460" s="135"/>
      <c r="CN460" s="135"/>
      <c r="CO460" s="135"/>
      <c r="CP460" s="135"/>
      <c r="CQ460" s="135"/>
      <c r="CR460" s="135"/>
      <c r="CS460" s="135"/>
      <c r="CT460" s="135"/>
    </row>
    <row r="461" spans="2:98" x14ac:dyDescent="0.4">
      <c r="N461" s="135"/>
      <c r="O461" s="135"/>
      <c r="P461" s="135"/>
      <c r="Q461" s="134"/>
      <c r="R461" s="135"/>
      <c r="S461" s="135"/>
      <c r="T461" s="135"/>
      <c r="U461" s="135"/>
      <c r="V461" s="135"/>
      <c r="W461" s="135"/>
      <c r="X461" s="135"/>
      <c r="Y461" s="135"/>
      <c r="Z461" s="135"/>
      <c r="AA461" s="135"/>
      <c r="AB461" s="135"/>
      <c r="AC461" s="135"/>
      <c r="AD461" s="135"/>
      <c r="AE461" s="135"/>
      <c r="AF461" s="135"/>
      <c r="AG461" s="135"/>
      <c r="AH461" s="135"/>
      <c r="AI461" s="135"/>
      <c r="AJ461" s="135"/>
      <c r="AK461" s="135"/>
      <c r="AL461" s="135"/>
      <c r="AM461" s="135"/>
      <c r="AN461" s="135"/>
      <c r="AO461" s="135"/>
      <c r="AP461" s="135"/>
      <c r="AQ461" s="135"/>
      <c r="AR461" s="135"/>
      <c r="AS461" s="135"/>
      <c r="AT461" s="135"/>
      <c r="AU461" s="135"/>
      <c r="AV461" s="135"/>
      <c r="AW461" s="135"/>
      <c r="AX461" s="135"/>
      <c r="AY461" s="135"/>
      <c r="AZ461" s="135"/>
      <c r="BA461" s="135"/>
      <c r="BB461" s="135"/>
      <c r="BC461" s="135"/>
      <c r="BD461" s="135"/>
      <c r="BE461" s="135"/>
      <c r="BF461" s="135"/>
      <c r="BG461" s="135"/>
      <c r="BH461" s="135"/>
      <c r="BI461" s="135"/>
      <c r="BJ461" s="135"/>
      <c r="BK461" s="135"/>
      <c r="BL461" s="135"/>
      <c r="BM461" s="135"/>
      <c r="BN461" s="135"/>
      <c r="BO461" s="135"/>
      <c r="BP461" s="135"/>
      <c r="BQ461" s="135"/>
      <c r="BR461" s="135"/>
      <c r="BS461" s="135"/>
      <c r="BT461" s="135"/>
      <c r="BU461" s="135"/>
      <c r="BV461" s="135"/>
      <c r="BW461" s="135"/>
      <c r="BX461" s="135"/>
      <c r="BY461" s="135"/>
      <c r="BZ461" s="135"/>
      <c r="CA461" s="135"/>
      <c r="CB461" s="135"/>
      <c r="CC461" s="135"/>
      <c r="CD461" s="135"/>
      <c r="CE461" s="135"/>
      <c r="CF461" s="135"/>
      <c r="CG461" s="135"/>
      <c r="CH461" s="135"/>
      <c r="CI461" s="135"/>
      <c r="CJ461" s="135"/>
      <c r="CK461" s="135"/>
      <c r="CL461" s="135"/>
      <c r="CM461" s="135"/>
      <c r="CN461" s="135"/>
      <c r="CO461" s="135"/>
      <c r="CP461" s="135"/>
      <c r="CQ461" s="135"/>
      <c r="CR461" s="135"/>
      <c r="CS461" s="135"/>
      <c r="CT461" s="135"/>
    </row>
    <row r="462" spans="2:98" x14ac:dyDescent="0.4">
      <c r="N462" s="135"/>
      <c r="O462" s="135"/>
      <c r="P462" s="135"/>
      <c r="Q462" s="134"/>
      <c r="R462" s="135"/>
      <c r="S462" s="135"/>
      <c r="T462" s="135"/>
      <c r="U462" s="135"/>
      <c r="V462" s="135"/>
      <c r="W462" s="135"/>
      <c r="X462" s="135"/>
      <c r="Y462" s="135"/>
      <c r="Z462" s="135"/>
      <c r="AA462" s="135"/>
      <c r="AB462" s="135"/>
      <c r="AC462" s="135"/>
      <c r="AD462" s="135"/>
      <c r="AE462" s="135"/>
      <c r="AF462" s="135"/>
      <c r="AG462" s="135"/>
      <c r="AH462" s="135"/>
      <c r="AI462" s="135"/>
      <c r="AJ462" s="135"/>
      <c r="AK462" s="135"/>
      <c r="AL462" s="135"/>
      <c r="AM462" s="135"/>
      <c r="AN462" s="135"/>
      <c r="AO462" s="135"/>
      <c r="AP462" s="135"/>
      <c r="AQ462" s="135"/>
      <c r="AR462" s="135"/>
      <c r="AS462" s="135"/>
      <c r="AT462" s="135"/>
      <c r="AU462" s="135"/>
      <c r="AV462" s="135"/>
      <c r="AW462" s="135"/>
      <c r="AX462" s="135"/>
      <c r="AY462" s="135"/>
      <c r="AZ462" s="135"/>
      <c r="BA462" s="135"/>
      <c r="BB462" s="135"/>
      <c r="BC462" s="135"/>
      <c r="BD462" s="135"/>
      <c r="BE462" s="135"/>
      <c r="BF462" s="135"/>
      <c r="BG462" s="135"/>
      <c r="BH462" s="135"/>
      <c r="BI462" s="135"/>
      <c r="BJ462" s="135"/>
      <c r="BK462" s="135"/>
      <c r="BL462" s="135"/>
      <c r="BM462" s="135"/>
      <c r="BN462" s="135"/>
      <c r="BO462" s="135"/>
      <c r="BP462" s="135"/>
      <c r="BQ462" s="135"/>
      <c r="BR462" s="135"/>
      <c r="BS462" s="135"/>
      <c r="BT462" s="135"/>
      <c r="BU462" s="135"/>
      <c r="BV462" s="135"/>
      <c r="BW462" s="135"/>
      <c r="BX462" s="135"/>
      <c r="BY462" s="135"/>
      <c r="BZ462" s="135"/>
      <c r="CA462" s="135"/>
      <c r="CB462" s="135"/>
      <c r="CC462" s="135"/>
      <c r="CD462" s="135"/>
      <c r="CE462" s="135"/>
      <c r="CF462" s="135"/>
      <c r="CG462" s="135"/>
      <c r="CH462" s="135"/>
      <c r="CI462" s="135"/>
      <c r="CJ462" s="135"/>
      <c r="CK462" s="135"/>
      <c r="CL462" s="135"/>
      <c r="CM462" s="135"/>
      <c r="CN462" s="135"/>
      <c r="CO462" s="135"/>
      <c r="CP462" s="135"/>
      <c r="CQ462" s="135"/>
      <c r="CR462" s="135"/>
      <c r="CS462" s="135"/>
      <c r="CT462" s="135"/>
    </row>
    <row r="463" spans="2:98" x14ac:dyDescent="0.4">
      <c r="N463" s="135"/>
      <c r="O463" s="135"/>
      <c r="P463" s="135"/>
      <c r="Q463" s="134"/>
      <c r="R463" s="135"/>
      <c r="S463" s="135"/>
      <c r="T463" s="135"/>
      <c r="U463" s="135"/>
      <c r="V463" s="135"/>
      <c r="W463" s="135"/>
      <c r="X463" s="135"/>
      <c r="Y463" s="135"/>
      <c r="Z463" s="135"/>
      <c r="AA463" s="135"/>
      <c r="AB463" s="135"/>
      <c r="AC463" s="135"/>
      <c r="AD463" s="135"/>
      <c r="AE463" s="135"/>
      <c r="AF463" s="135"/>
      <c r="AG463" s="135"/>
      <c r="AH463" s="135"/>
      <c r="AI463" s="135"/>
      <c r="AJ463" s="135"/>
      <c r="AK463" s="135"/>
      <c r="AL463" s="135"/>
      <c r="AM463" s="135"/>
      <c r="AN463" s="135"/>
      <c r="AO463" s="135"/>
      <c r="AP463" s="135"/>
      <c r="AQ463" s="135"/>
      <c r="AR463" s="135"/>
      <c r="AS463" s="135"/>
      <c r="AT463" s="135"/>
      <c r="AU463" s="135"/>
      <c r="AV463" s="135"/>
      <c r="AW463" s="135"/>
      <c r="AX463" s="135"/>
      <c r="AY463" s="135"/>
      <c r="AZ463" s="135"/>
      <c r="BA463" s="135"/>
      <c r="BB463" s="135"/>
      <c r="BC463" s="135"/>
      <c r="BD463" s="135"/>
      <c r="BE463" s="135"/>
      <c r="BF463" s="135"/>
      <c r="BG463" s="135"/>
      <c r="BH463" s="135"/>
      <c r="BI463" s="135"/>
      <c r="BJ463" s="135"/>
      <c r="BK463" s="135"/>
      <c r="BL463" s="135"/>
      <c r="BM463" s="135"/>
      <c r="BN463" s="135"/>
      <c r="BO463" s="135"/>
      <c r="BP463" s="135"/>
      <c r="BQ463" s="135"/>
      <c r="BR463" s="135"/>
      <c r="BS463" s="135"/>
      <c r="BT463" s="135"/>
      <c r="BU463" s="135"/>
      <c r="BV463" s="135"/>
      <c r="BW463" s="135"/>
      <c r="BX463" s="135"/>
      <c r="BY463" s="135"/>
      <c r="BZ463" s="135"/>
      <c r="CA463" s="135"/>
      <c r="CB463" s="135"/>
      <c r="CC463" s="135"/>
      <c r="CD463" s="135"/>
      <c r="CE463" s="135"/>
      <c r="CF463" s="135"/>
      <c r="CG463" s="135"/>
      <c r="CH463" s="135"/>
      <c r="CI463" s="135"/>
      <c r="CJ463" s="135"/>
      <c r="CK463" s="135"/>
      <c r="CL463" s="135"/>
      <c r="CM463" s="135"/>
      <c r="CN463" s="135"/>
      <c r="CO463" s="135"/>
      <c r="CP463" s="135"/>
      <c r="CQ463" s="135"/>
      <c r="CR463" s="135"/>
      <c r="CS463" s="135"/>
      <c r="CT463" s="135"/>
    </row>
    <row r="464" spans="2:98" x14ac:dyDescent="0.4">
      <c r="N464" s="135"/>
      <c r="O464" s="135"/>
      <c r="P464" s="135"/>
      <c r="Q464" s="134"/>
    </row>
    <row r="465" spans="7:17" x14ac:dyDescent="0.4">
      <c r="G465" s="135"/>
      <c r="H465" s="135"/>
      <c r="I465" s="135"/>
      <c r="J465" s="135"/>
      <c r="K465" s="135"/>
      <c r="L465" s="135"/>
      <c r="M465" s="135"/>
      <c r="N465" s="135"/>
      <c r="O465" s="135"/>
      <c r="P465" s="135"/>
      <c r="Q465" s="134"/>
    </row>
    <row r="466" spans="7:17" x14ac:dyDescent="0.4">
      <c r="Q466" s="134"/>
    </row>
    <row r="467" spans="7:17" x14ac:dyDescent="0.4">
      <c r="Q467" s="134"/>
    </row>
    <row r="468" spans="7:17" x14ac:dyDescent="0.4">
      <c r="Q468" s="134"/>
    </row>
    <row r="469" spans="7:17" x14ac:dyDescent="0.4">
      <c r="Q469" s="134"/>
    </row>
    <row r="470" spans="7:17" x14ac:dyDescent="0.4">
      <c r="Q470" s="134"/>
    </row>
    <row r="471" spans="7:17" x14ac:dyDescent="0.4">
      <c r="Q471" s="134"/>
    </row>
    <row r="472" spans="7:17" x14ac:dyDescent="0.4">
      <c r="Q472" s="134"/>
    </row>
    <row r="473" spans="7:17" x14ac:dyDescent="0.4">
      <c r="Q473" s="134"/>
    </row>
    <row r="474" spans="7:17" x14ac:dyDescent="0.4">
      <c r="Q474" s="134"/>
    </row>
    <row r="475" spans="7:17" x14ac:dyDescent="0.4">
      <c r="Q475" s="134"/>
    </row>
    <row r="476" spans="7:17" x14ac:dyDescent="0.4">
      <c r="Q476" s="134"/>
    </row>
    <row r="477" spans="7:17" x14ac:dyDescent="0.4">
      <c r="Q477" s="134"/>
    </row>
    <row r="478" spans="7:17" x14ac:dyDescent="0.4">
      <c r="Q478" s="134"/>
    </row>
    <row r="479" spans="7:17" x14ac:dyDescent="0.4">
      <c r="Q479" s="134"/>
    </row>
    <row r="480" spans="7:17" x14ac:dyDescent="0.4">
      <c r="Q480" s="134"/>
    </row>
    <row r="481" spans="17:17" x14ac:dyDescent="0.4">
      <c r="Q481" s="134"/>
    </row>
    <row r="482" spans="17:17" x14ac:dyDescent="0.4">
      <c r="Q482" s="134"/>
    </row>
  </sheetData>
  <mergeCells count="1">
    <mergeCell ref="B4:C4"/>
  </mergeCells>
  <conditionalFormatting sqref="L5:L7 K8:L16 M4:M157">
    <cfRule type="expression" dxfId="36" priority="8">
      <formula>K4&lt;0</formula>
    </cfRule>
  </conditionalFormatting>
  <conditionalFormatting sqref="K5:K7">
    <cfRule type="expression" dxfId="35" priority="6">
      <formula>K5&lt;0</formula>
    </cfRule>
  </conditionalFormatting>
  <conditionalFormatting sqref="M3">
    <cfRule type="expression" dxfId="34" priority="3">
      <formula>M3&lt;0</formula>
    </cfRule>
  </conditionalFormatting>
  <conditionalFormatting sqref="L154:L157">
    <cfRule type="expression" dxfId="33" priority="1">
      <formula>L154&lt;0</formula>
    </cfRule>
  </conditionalFormatting>
  <dataValidations count="1">
    <dataValidation type="list" allowBlank="1" showInputMessage="1" showErrorMessage="1" sqref="J3:J157" xr:uid="{00000000-0002-0000-0700-000000000000}">
      <formula1>Category</formula1>
    </dataValidation>
  </dataValidations>
  <pageMargins left="0.7" right="0.7" top="0.75" bottom="0.75" header="0.3" footer="0.3"/>
  <pageSetup scale="74" fitToHeight="0" orientation="landscape" r:id="rId1"/>
  <drawing r:id="rId2"/>
  <tableParts count="2">
    <tablePart r:id="rId3"/>
    <tablePart r:id="rId4"/>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2060"/>
    <pageSetUpPr fitToPage="1"/>
  </sheetPr>
  <dimension ref="B1:DI487"/>
  <sheetViews>
    <sheetView showGridLines="0" showRuler="0" zoomScaleNormal="100" workbookViewId="0">
      <selection activeCell="B17" sqref="B17"/>
    </sheetView>
  </sheetViews>
  <sheetFormatPr defaultColWidth="9.33203125" defaultRowHeight="14.4" x14ac:dyDescent="0.3"/>
  <cols>
    <col min="1" max="1" width="5.44140625" style="52" customWidth="1"/>
    <col min="2" max="2" width="26.44140625" style="52" customWidth="1"/>
    <col min="3" max="5" width="13.33203125" style="52" customWidth="1"/>
    <col min="6" max="6" width="7.44140625" style="52" customWidth="1"/>
    <col min="7" max="7" width="12.33203125" style="52" customWidth="1"/>
    <col min="8" max="8" width="14.33203125" style="52" customWidth="1"/>
    <col min="9" max="9" width="37.44140625" style="70" customWidth="1"/>
    <col min="10" max="10" width="19" style="52" customWidth="1"/>
    <col min="11" max="11" width="12.33203125" style="52" customWidth="1"/>
    <col min="12" max="12" width="13" style="52" customWidth="1"/>
    <col min="13" max="13" width="14.6640625" style="52" customWidth="1"/>
    <col min="14" max="14" width="12.33203125" style="70" customWidth="1"/>
    <col min="15" max="15" width="13.44140625" style="102" customWidth="1"/>
    <col min="16" max="16" width="12.88671875" style="70" customWidth="1"/>
    <col min="17" max="17" width="9.33203125" style="70"/>
    <col min="18" max="18" width="18" style="70" customWidth="1"/>
    <col min="19" max="19" width="6.44140625" style="70" customWidth="1"/>
    <col min="20" max="113" width="9.33203125" style="70"/>
    <col min="114" max="16384" width="9.33203125" style="52"/>
  </cols>
  <sheetData>
    <row r="1" spans="2:17" ht="67.95" customHeight="1" x14ac:dyDescent="0.85">
      <c r="B1" s="561" t="s">
        <v>157</v>
      </c>
      <c r="C1" s="562"/>
      <c r="D1" s="562"/>
      <c r="E1" s="562"/>
      <c r="F1" s="562"/>
      <c r="G1" s="562"/>
      <c r="H1" s="562"/>
      <c r="I1" s="562"/>
      <c r="J1" s="101"/>
      <c r="K1" s="101"/>
      <c r="L1" s="101"/>
      <c r="M1" s="101"/>
    </row>
    <row r="2" spans="2:17" ht="23.85" customHeight="1" x14ac:dyDescent="0.4">
      <c r="B2" s="563"/>
      <c r="C2" s="563"/>
      <c r="D2" s="563"/>
      <c r="E2" s="563"/>
      <c r="F2" s="563"/>
      <c r="G2" s="563"/>
      <c r="H2" s="563"/>
      <c r="I2" s="563"/>
      <c r="J2" s="53"/>
      <c r="K2" s="53"/>
      <c r="L2" s="53"/>
      <c r="M2" s="53"/>
    </row>
    <row r="3" spans="2:17" ht="25.95" customHeight="1" x14ac:dyDescent="0.3">
      <c r="B3" s="559" t="str">
        <f>CONCATENATE("Current Balance : "&amp;TEXT(MyTransactions[[#Totals],[Balance]],"$#,##0.00"))</f>
        <v>Current Balance : $11,585.98</v>
      </c>
      <c r="C3" s="559"/>
      <c r="D3" s="559"/>
      <c r="E3" s="559"/>
      <c r="F3" s="559"/>
      <c r="G3" s="559"/>
      <c r="H3" s="559"/>
      <c r="I3" s="559"/>
      <c r="J3" s="103"/>
      <c r="K3" s="104"/>
      <c r="L3" s="104"/>
      <c r="M3" s="104"/>
    </row>
    <row r="4" spans="2:17" ht="21" x14ac:dyDescent="0.4">
      <c r="B4" s="53"/>
      <c r="C4" s="53"/>
      <c r="D4" s="53"/>
      <c r="E4" s="53"/>
      <c r="F4" s="53"/>
      <c r="J4" s="53"/>
      <c r="M4" s="70"/>
    </row>
    <row r="5" spans="2:17" ht="20.399999999999999" customHeight="1" x14ac:dyDescent="0.4">
      <c r="B5" s="53"/>
      <c r="C5" s="53"/>
      <c r="D5" s="53"/>
      <c r="E5" s="53"/>
      <c r="F5" s="53"/>
      <c r="G5" s="105" t="s">
        <v>12</v>
      </c>
      <c r="H5" s="106" t="s">
        <v>1</v>
      </c>
      <c r="I5" s="107" t="s">
        <v>2</v>
      </c>
      <c r="J5" s="105" t="s">
        <v>4</v>
      </c>
      <c r="K5" s="108" t="s">
        <v>21</v>
      </c>
      <c r="L5" s="108" t="s">
        <v>11</v>
      </c>
      <c r="M5" s="108" t="s">
        <v>3</v>
      </c>
      <c r="N5" s="109" t="s">
        <v>102</v>
      </c>
      <c r="O5" s="110" t="s">
        <v>115</v>
      </c>
      <c r="P5" s="109" t="s">
        <v>116</v>
      </c>
      <c r="Q5" s="109"/>
    </row>
    <row r="6" spans="2:17" ht="20.399999999999999" customHeight="1" x14ac:dyDescent="0.4">
      <c r="B6" s="53"/>
      <c r="C6" s="53"/>
      <c r="D6" s="53"/>
      <c r="E6" s="53"/>
      <c r="F6" s="53"/>
      <c r="G6" s="111"/>
      <c r="H6" s="112">
        <v>41214</v>
      </c>
      <c r="I6" s="111" t="s">
        <v>5</v>
      </c>
      <c r="J6" s="111" t="s">
        <v>5</v>
      </c>
      <c r="K6" s="113"/>
      <c r="L6" s="113">
        <v>13082.2</v>
      </c>
      <c r="M6" s="113">
        <v>13082.2</v>
      </c>
      <c r="N6" s="114" t="s">
        <v>101</v>
      </c>
      <c r="O6" s="115"/>
      <c r="P6" s="114"/>
      <c r="Q6" s="114"/>
    </row>
    <row r="7" spans="2:17" ht="20.399999999999999" customHeight="1" x14ac:dyDescent="0.4">
      <c r="B7" s="53"/>
      <c r="C7" s="53"/>
      <c r="D7" s="53"/>
      <c r="E7" s="53"/>
      <c r="F7" s="53"/>
      <c r="G7" s="116">
        <v>3015</v>
      </c>
      <c r="H7" s="117">
        <v>41244</v>
      </c>
      <c r="I7" s="116" t="s">
        <v>79</v>
      </c>
      <c r="J7" s="116" t="s">
        <v>40</v>
      </c>
      <c r="K7" s="118">
        <v>161.91999999999999</v>
      </c>
      <c r="L7" s="118"/>
      <c r="M7" s="118">
        <f>IF(ISBLANK(MyTransactions[[#This Row],[Withdrawal]]),M6+MyTransactions[[#This Row],[Deposit]],M6-MyTransactions[[#This Row],[Withdrawal]])</f>
        <v>12920.28</v>
      </c>
      <c r="N7" s="114" t="s">
        <v>101</v>
      </c>
      <c r="O7" s="115"/>
      <c r="P7" s="114"/>
      <c r="Q7" s="114"/>
    </row>
    <row r="8" spans="2:17" ht="20.399999999999999" customHeight="1" x14ac:dyDescent="0.4">
      <c r="B8" s="53"/>
      <c r="C8" s="53"/>
      <c r="D8" s="53"/>
      <c r="E8" s="53"/>
      <c r="F8" s="53"/>
      <c r="G8" s="116">
        <v>3016</v>
      </c>
      <c r="H8" s="117">
        <v>41244</v>
      </c>
      <c r="I8" s="116" t="s">
        <v>79</v>
      </c>
      <c r="J8" s="116" t="s">
        <v>59</v>
      </c>
      <c r="K8" s="118">
        <v>1326</v>
      </c>
      <c r="L8" s="118"/>
      <c r="M8" s="118">
        <f>IF(ISBLANK(MyTransactions[[#This Row],[Withdrawal]]),M7+MyTransactions[[#This Row],[Deposit]],M7-MyTransactions[[#This Row],[Withdrawal]])</f>
        <v>11594.28</v>
      </c>
      <c r="N8" s="114" t="s">
        <v>101</v>
      </c>
      <c r="O8" s="115"/>
      <c r="P8" s="114"/>
      <c r="Q8" s="114"/>
    </row>
    <row r="9" spans="2:17" ht="20.399999999999999" customHeight="1" x14ac:dyDescent="0.4">
      <c r="B9" s="53"/>
      <c r="C9" s="53"/>
      <c r="D9" s="53"/>
      <c r="E9" s="53"/>
      <c r="F9" s="53"/>
      <c r="G9" s="116">
        <v>3017</v>
      </c>
      <c r="H9" s="117">
        <v>41244</v>
      </c>
      <c r="I9" s="116" t="s">
        <v>80</v>
      </c>
      <c r="J9" s="116" t="s">
        <v>58</v>
      </c>
      <c r="K9" s="118">
        <v>1989</v>
      </c>
      <c r="L9" s="118"/>
      <c r="M9" s="118">
        <f>IF(ISBLANK(MyTransactions[[#This Row],[Withdrawal]]),M8+MyTransactions[[#This Row],[Deposit]],M8-MyTransactions[[#This Row],[Withdrawal]])</f>
        <v>9605.2800000000007</v>
      </c>
      <c r="N9" s="114" t="s">
        <v>101</v>
      </c>
      <c r="O9" s="115"/>
      <c r="P9" s="114"/>
      <c r="Q9" s="114"/>
    </row>
    <row r="10" spans="2:17" ht="20.399999999999999" customHeight="1" x14ac:dyDescent="0.4">
      <c r="B10" s="53"/>
      <c r="C10" s="53"/>
      <c r="D10" s="53"/>
      <c r="E10" s="53"/>
      <c r="F10" s="53"/>
      <c r="G10" s="116">
        <v>3018</v>
      </c>
      <c r="H10" s="117">
        <v>41244</v>
      </c>
      <c r="I10" s="119" t="s">
        <v>81</v>
      </c>
      <c r="J10" s="116" t="s">
        <v>69</v>
      </c>
      <c r="K10" s="118">
        <v>250</v>
      </c>
      <c r="L10" s="118"/>
      <c r="M10" s="118">
        <f>IF(ISBLANK(MyTransactions[[#This Row],[Withdrawal]]),M9+MyTransactions[[#This Row],[Deposit]],M9-MyTransactions[[#This Row],[Withdrawal]])</f>
        <v>9355.2800000000007</v>
      </c>
      <c r="N10" s="114" t="s">
        <v>101</v>
      </c>
      <c r="O10" s="115"/>
      <c r="P10" s="114"/>
      <c r="Q10" s="114"/>
    </row>
    <row r="11" spans="2:17" ht="20.399999999999999" customHeight="1" x14ac:dyDescent="0.4">
      <c r="B11" s="53"/>
      <c r="C11" s="53"/>
      <c r="D11" s="53"/>
      <c r="E11" s="53"/>
      <c r="F11" s="53"/>
      <c r="G11" s="119">
        <v>3019</v>
      </c>
      <c r="H11" s="120">
        <v>41244</v>
      </c>
      <c r="I11" s="119" t="s">
        <v>82</v>
      </c>
      <c r="J11" s="119" t="s">
        <v>46</v>
      </c>
      <c r="K11" s="114">
        <v>440</v>
      </c>
      <c r="L11" s="114"/>
      <c r="M11" s="118">
        <f>IF(ISBLANK(MyTransactions[[#This Row],[Withdrawal]]),M10+MyTransactions[[#This Row],[Deposit]],M10-MyTransactions[[#This Row],[Withdrawal]])</f>
        <v>8915.2800000000007</v>
      </c>
      <c r="N11" s="114" t="s">
        <v>101</v>
      </c>
      <c r="O11" s="115"/>
      <c r="P11" s="114"/>
      <c r="Q11" s="114"/>
    </row>
    <row r="12" spans="2:17" ht="20.399999999999999" customHeight="1" x14ac:dyDescent="0.4">
      <c r="B12" s="53"/>
      <c r="C12" s="53"/>
      <c r="D12" s="53"/>
      <c r="E12" s="53"/>
      <c r="F12" s="53"/>
      <c r="G12" s="119">
        <v>3020</v>
      </c>
      <c r="H12" s="120">
        <v>41244</v>
      </c>
      <c r="I12" s="119" t="s">
        <v>80</v>
      </c>
      <c r="J12" s="119" t="s">
        <v>41</v>
      </c>
      <c r="K12" s="114">
        <v>180</v>
      </c>
      <c r="L12" s="114"/>
      <c r="M12" s="118">
        <f>IF(ISBLANK(MyTransactions[[#This Row],[Withdrawal]]),M11+MyTransactions[[#This Row],[Deposit]],M11-MyTransactions[[#This Row],[Withdrawal]])</f>
        <v>8735.2800000000007</v>
      </c>
      <c r="N12" s="114" t="s">
        <v>101</v>
      </c>
      <c r="O12" s="115"/>
      <c r="P12" s="114"/>
      <c r="Q12" s="114"/>
    </row>
    <row r="13" spans="2:17" ht="15" customHeight="1" x14ac:dyDescent="0.3">
      <c r="F13" s="67"/>
      <c r="G13" s="119">
        <v>3021</v>
      </c>
      <c r="H13" s="120">
        <v>41244</v>
      </c>
      <c r="I13" s="119" t="s">
        <v>83</v>
      </c>
      <c r="J13" s="119" t="s">
        <v>43</v>
      </c>
      <c r="K13" s="114">
        <v>50</v>
      </c>
      <c r="L13" s="114"/>
      <c r="M13" s="118">
        <f>IF(ISBLANK(MyTransactions[[#This Row],[Withdrawal]]),M12+MyTransactions[[#This Row],[Deposit]],M12-MyTransactions[[#This Row],[Withdrawal]])</f>
        <v>8685.2800000000007</v>
      </c>
      <c r="N13" s="114" t="s">
        <v>101</v>
      </c>
      <c r="O13" s="115"/>
      <c r="P13" s="114"/>
      <c r="Q13" s="114"/>
    </row>
    <row r="14" spans="2:17" x14ac:dyDescent="0.3">
      <c r="B14" s="560" t="s">
        <v>18</v>
      </c>
      <c r="C14" s="560"/>
      <c r="D14" s="68"/>
      <c r="E14" s="68"/>
      <c r="F14" s="67"/>
      <c r="G14" s="119">
        <v>3022</v>
      </c>
      <c r="H14" s="120">
        <v>41244</v>
      </c>
      <c r="I14" s="119" t="s">
        <v>84</v>
      </c>
      <c r="J14" s="119" t="s">
        <v>48</v>
      </c>
      <c r="K14" s="114">
        <v>12.17</v>
      </c>
      <c r="L14" s="114"/>
      <c r="M14" s="118">
        <f>IF(ISBLANK(MyTransactions[[#This Row],[Withdrawal]]),M13+MyTransactions[[#This Row],[Deposit]],M13-MyTransactions[[#This Row],[Withdrawal]])</f>
        <v>8673.11</v>
      </c>
      <c r="N14" s="114" t="s">
        <v>101</v>
      </c>
      <c r="O14" s="115"/>
      <c r="P14" s="114"/>
      <c r="Q14" s="114"/>
    </row>
    <row r="15" spans="2:17" x14ac:dyDescent="0.3">
      <c r="B15" s="67" t="s">
        <v>4</v>
      </c>
      <c r="C15" s="69" t="s">
        <v>0</v>
      </c>
      <c r="D15" s="69"/>
      <c r="E15" s="69"/>
      <c r="F15" s="67"/>
      <c r="G15" s="119">
        <v>3022</v>
      </c>
      <c r="H15" s="120">
        <v>41244</v>
      </c>
      <c r="I15" s="119" t="s">
        <v>84</v>
      </c>
      <c r="J15" s="119" t="s">
        <v>49</v>
      </c>
      <c r="K15" s="114">
        <v>7.47</v>
      </c>
      <c r="L15" s="114"/>
      <c r="M15" s="118">
        <f>IF(ISBLANK(MyTransactions[[#This Row],[Withdrawal]]),M14+MyTransactions[[#This Row],[Deposit]],M14-MyTransactions[[#This Row],[Withdrawal]])</f>
        <v>8665.6400000000012</v>
      </c>
      <c r="N15" s="114" t="s">
        <v>101</v>
      </c>
      <c r="O15" s="115"/>
      <c r="P15" s="114"/>
      <c r="Q15" s="114"/>
    </row>
    <row r="16" spans="2:17" x14ac:dyDescent="0.3">
      <c r="B16" s="67" t="s">
        <v>5</v>
      </c>
      <c r="C16" s="121">
        <f>SUMIF(MyTransactions[Category],"=" &amp;CategoryTable[[#This Row],[Category]],MyTransactions[Deposit])</f>
        <v>13082.2</v>
      </c>
      <c r="D16" s="121"/>
      <c r="E16" s="121"/>
      <c r="F16" s="67"/>
      <c r="G16" s="119">
        <v>3023</v>
      </c>
      <c r="H16" s="120">
        <v>41244</v>
      </c>
      <c r="I16" s="119" t="s">
        <v>85</v>
      </c>
      <c r="J16" s="119" t="s">
        <v>39</v>
      </c>
      <c r="K16" s="114">
        <v>54.5</v>
      </c>
      <c r="L16" s="114"/>
      <c r="M16" s="118">
        <f>IF(ISBLANK(MyTransactions[[#This Row],[Withdrawal]]),M15+MyTransactions[[#This Row],[Deposit]],M15-MyTransactions[[#This Row],[Withdrawal]])</f>
        <v>8611.1400000000012</v>
      </c>
      <c r="N16" s="114" t="s">
        <v>101</v>
      </c>
      <c r="O16" s="115"/>
      <c r="P16" s="114"/>
      <c r="Q16" s="114"/>
    </row>
    <row r="17" spans="2:17" x14ac:dyDescent="0.3">
      <c r="B17" s="67" t="s">
        <v>32</v>
      </c>
      <c r="C17" s="121">
        <f>SUMIF(MyTransactions[Category],"=" &amp;CategoryTable[[#This Row],[Category]],MyTransactions[Deposit])</f>
        <v>597.34999999999991</v>
      </c>
      <c r="D17" s="121"/>
      <c r="E17" s="121"/>
      <c r="F17" s="67"/>
      <c r="G17" s="119">
        <v>2024</v>
      </c>
      <c r="H17" s="120">
        <v>41244</v>
      </c>
      <c r="I17" s="119" t="s">
        <v>103</v>
      </c>
      <c r="J17" s="119" t="s">
        <v>52</v>
      </c>
      <c r="K17" s="114">
        <v>0</v>
      </c>
      <c r="L17" s="114"/>
      <c r="M17" s="118">
        <f>IF(ISBLANK(MyTransactions[[#This Row],[Withdrawal]]),M16+MyTransactions[[#This Row],[Deposit]],M16-MyTransactions[[#This Row],[Withdrawal]])</f>
        <v>8611.1400000000012</v>
      </c>
      <c r="N17" s="114" t="s">
        <v>101</v>
      </c>
      <c r="O17" s="115"/>
      <c r="P17" s="114"/>
      <c r="Q17" s="114"/>
    </row>
    <row r="18" spans="2:17" x14ac:dyDescent="0.3">
      <c r="B18" s="67" t="s">
        <v>33</v>
      </c>
      <c r="C18" s="121">
        <f>SUMIF(MyTransactions[Category],"=" &amp;CategoryTable[[#This Row],[Category]],MyTransactions[Deposit])</f>
        <v>480.62</v>
      </c>
      <c r="D18" s="121"/>
      <c r="E18" s="121"/>
      <c r="F18" s="67"/>
      <c r="G18" s="119"/>
      <c r="H18" s="120">
        <v>41244</v>
      </c>
      <c r="I18" s="119" t="s">
        <v>89</v>
      </c>
      <c r="J18" s="119" t="s">
        <v>32</v>
      </c>
      <c r="K18" s="114"/>
      <c r="L18" s="114">
        <v>112.14</v>
      </c>
      <c r="M18" s="118">
        <f>IF(ISBLANK(MyTransactions[[#This Row],[Withdrawal]]),M17+MyTransactions[[#This Row],[Deposit]],M17-MyTransactions[[#This Row],[Withdrawal]])</f>
        <v>8723.2800000000007</v>
      </c>
      <c r="N18" s="114" t="s">
        <v>101</v>
      </c>
      <c r="O18" s="115"/>
      <c r="P18" s="114"/>
      <c r="Q18" s="114"/>
    </row>
    <row r="19" spans="2:17" x14ac:dyDescent="0.3">
      <c r="B19" s="67" t="s">
        <v>34</v>
      </c>
      <c r="C19" s="121">
        <f>SUMIF(MyTransactions[Category],"=" &amp;CategoryTable[[#This Row],[Category]],MyTransactions[Withdrawal])</f>
        <v>518.01</v>
      </c>
      <c r="D19" s="121"/>
      <c r="E19" s="121"/>
      <c r="F19" s="67"/>
      <c r="G19" s="119">
        <v>2026</v>
      </c>
      <c r="H19" s="120">
        <v>41244</v>
      </c>
      <c r="I19" s="119" t="s">
        <v>87</v>
      </c>
      <c r="J19" s="119"/>
      <c r="K19" s="114">
        <v>0</v>
      </c>
      <c r="L19" s="114"/>
      <c r="M19" s="118">
        <f>IF(ISBLANK(MyTransactions[[#This Row],[Withdrawal]]),M18+MyTransactions[[#This Row],[Deposit]],M18-MyTransactions[[#This Row],[Withdrawal]])</f>
        <v>8723.2800000000007</v>
      </c>
      <c r="N19" s="114" t="s">
        <v>101</v>
      </c>
      <c r="O19" s="115"/>
      <c r="P19" s="114"/>
      <c r="Q19" s="114"/>
    </row>
    <row r="20" spans="2:17" x14ac:dyDescent="0.3">
      <c r="B20" s="67" t="s">
        <v>35</v>
      </c>
      <c r="C20" s="121">
        <f>SUMIF(MyTransactions[Category],"=" &amp;CategoryTable[[#This Row],[Category]],MyTransactions[Withdrawal])</f>
        <v>0</v>
      </c>
      <c r="D20" s="121"/>
      <c r="E20" s="121"/>
      <c r="F20" s="67"/>
      <c r="G20" s="119">
        <v>2027</v>
      </c>
      <c r="H20" s="120">
        <v>41244</v>
      </c>
      <c r="I20" s="119" t="s">
        <v>87</v>
      </c>
      <c r="J20" s="119"/>
      <c r="K20" s="114">
        <v>0</v>
      </c>
      <c r="L20" s="114"/>
      <c r="M20" s="118">
        <f>IF(ISBLANK(MyTransactions[[#This Row],[Withdrawal]]),M19+MyTransactions[[#This Row],[Deposit]],M19-MyTransactions[[#This Row],[Withdrawal]])</f>
        <v>8723.2800000000007</v>
      </c>
      <c r="N20" s="114" t="s">
        <v>101</v>
      </c>
      <c r="O20" s="115"/>
      <c r="P20" s="114" t="s">
        <v>142</v>
      </c>
      <c r="Q20" s="114"/>
    </row>
    <row r="21" spans="2:17" x14ac:dyDescent="0.3">
      <c r="B21" s="67" t="s">
        <v>36</v>
      </c>
      <c r="C21" s="121">
        <f>SUMIF(MyTransactions[Category],"=" &amp;CategoryTable[[#This Row],[Category]],MyTransactions[Withdrawal])</f>
        <v>47</v>
      </c>
      <c r="D21" s="121"/>
      <c r="E21" s="121"/>
      <c r="G21" s="119">
        <v>2025</v>
      </c>
      <c r="H21" s="120">
        <v>41253</v>
      </c>
      <c r="I21" s="119" t="s">
        <v>86</v>
      </c>
      <c r="J21" s="119" t="s">
        <v>45</v>
      </c>
      <c r="K21" s="114">
        <v>58</v>
      </c>
      <c r="L21" s="114"/>
      <c r="M21" s="118">
        <f>IF(ISBLANK(MyTransactions[[#This Row],[Withdrawal]]),M20+MyTransactions[[#This Row],[Deposit]],M20-MyTransactions[[#This Row],[Withdrawal]])</f>
        <v>8665.2800000000007</v>
      </c>
      <c r="N21" s="114" t="s">
        <v>101</v>
      </c>
      <c r="O21" s="115"/>
      <c r="P21" s="114"/>
      <c r="Q21" s="114"/>
    </row>
    <row r="22" spans="2:17" x14ac:dyDescent="0.3">
      <c r="B22" s="67" t="s">
        <v>37</v>
      </c>
      <c r="C22" s="121">
        <f>SUMIF(MyTransactions[Category],"=" &amp;CategoryTable[[#This Row],[Category]],MyTransactions[Withdrawal])</f>
        <v>0</v>
      </c>
      <c r="D22" s="121"/>
      <c r="E22" s="121"/>
      <c r="F22" s="70"/>
      <c r="G22" s="119">
        <v>2028</v>
      </c>
      <c r="H22" s="120">
        <v>41253</v>
      </c>
      <c r="I22" s="119" t="s">
        <v>88</v>
      </c>
      <c r="J22" s="119"/>
      <c r="K22" s="114">
        <v>119.51</v>
      </c>
      <c r="L22" s="114"/>
      <c r="M22" s="118">
        <f>IF(ISBLANK(MyTransactions[[#This Row],[Withdrawal]]),M21+MyTransactions[[#This Row],[Deposit]],M21-MyTransactions[[#This Row],[Withdrawal]])</f>
        <v>8545.77</v>
      </c>
      <c r="N22" s="114" t="s">
        <v>101</v>
      </c>
      <c r="O22" s="115"/>
      <c r="P22" s="114"/>
      <c r="Q22" s="114"/>
    </row>
    <row r="23" spans="2:17" s="70" customFormat="1" ht="13.8" x14ac:dyDescent="0.3">
      <c r="B23" s="67" t="s">
        <v>38</v>
      </c>
      <c r="C23" s="121">
        <f>SUMIF(MyTransactions[Category],"=" &amp;CategoryTable[[#This Row],[Category]],MyTransactions[Withdrawal])</f>
        <v>0</v>
      </c>
      <c r="D23" s="121"/>
      <c r="E23" s="121"/>
      <c r="G23" s="119"/>
      <c r="H23" s="120">
        <v>41274</v>
      </c>
      <c r="I23" s="119" t="s">
        <v>90</v>
      </c>
      <c r="J23" s="119" t="s">
        <v>91</v>
      </c>
      <c r="K23" s="114"/>
      <c r="L23" s="114">
        <v>0.82</v>
      </c>
      <c r="M23" s="118">
        <f>IF(ISBLANK(MyTransactions[[#This Row],[Withdrawal]]),M22+MyTransactions[[#This Row],[Deposit]],M22-MyTransactions[[#This Row],[Withdrawal]])</f>
        <v>8546.59</v>
      </c>
      <c r="N23" s="114" t="s">
        <v>101</v>
      </c>
      <c r="O23" s="115"/>
      <c r="P23" s="114"/>
      <c r="Q23" s="114"/>
    </row>
    <row r="24" spans="2:17" s="70" customFormat="1" ht="13.8" x14ac:dyDescent="0.3">
      <c r="B24" s="67" t="s">
        <v>39</v>
      </c>
      <c r="C24" s="121">
        <f>SUMIF(MyTransactions[Category],"=" &amp;CategoryTable[[#This Row],[Category]],MyTransactions[Withdrawal])</f>
        <v>347.76</v>
      </c>
      <c r="D24" s="121"/>
      <c r="E24" s="121"/>
      <c r="G24" s="119"/>
      <c r="H24" s="120">
        <v>41305</v>
      </c>
      <c r="I24" s="119" t="s">
        <v>90</v>
      </c>
      <c r="J24" s="119" t="s">
        <v>91</v>
      </c>
      <c r="K24" s="114"/>
      <c r="L24" s="114">
        <v>0.72</v>
      </c>
      <c r="M24" s="118">
        <f>IF(ISBLANK(MyTransactions[[#This Row],[Withdrawal]]),M23+MyTransactions[[#This Row],[Deposit]],M23-MyTransactions[[#This Row],[Withdrawal]])</f>
        <v>8547.31</v>
      </c>
      <c r="N24" s="114" t="s">
        <v>101</v>
      </c>
      <c r="O24" s="115"/>
      <c r="P24" s="114"/>
      <c r="Q24" s="114"/>
    </row>
    <row r="25" spans="2:17" s="70" customFormat="1" ht="13.8" x14ac:dyDescent="0.3">
      <c r="B25" s="67" t="s">
        <v>40</v>
      </c>
      <c r="C25" s="121">
        <f>SUMIF(MyTransactions[Category],"=" &amp;CategoryTable[[#This Row],[Category]],MyTransactions[Withdrawal])</f>
        <v>161.91999999999999</v>
      </c>
      <c r="D25" s="121"/>
      <c r="E25" s="121"/>
      <c r="G25" s="119">
        <v>2029</v>
      </c>
      <c r="H25" s="120">
        <v>41307</v>
      </c>
      <c r="I25" s="119" t="s">
        <v>92</v>
      </c>
      <c r="J25" s="119" t="s">
        <v>43</v>
      </c>
      <c r="K25" s="114">
        <v>50</v>
      </c>
      <c r="L25" s="114"/>
      <c r="M25" s="118">
        <f>IF(ISBLANK(MyTransactions[[#This Row],[Withdrawal]]),M24+MyTransactions[[#This Row],[Deposit]],M24-MyTransactions[[#This Row],[Withdrawal]])</f>
        <v>8497.31</v>
      </c>
      <c r="N25" s="114" t="s">
        <v>101</v>
      </c>
      <c r="O25" s="115"/>
      <c r="P25" s="114"/>
      <c r="Q25" s="114"/>
    </row>
    <row r="26" spans="2:17" s="70" customFormat="1" ht="13.8" x14ac:dyDescent="0.3">
      <c r="B26" s="67" t="s">
        <v>41</v>
      </c>
      <c r="C26" s="121">
        <f>SUMIF(MyTransactions[Category],"=" &amp;CategoryTable[[#This Row],[Category]],MyTransactions[Withdrawal])</f>
        <v>180</v>
      </c>
      <c r="D26" s="121"/>
      <c r="E26" s="121"/>
      <c r="G26" s="119">
        <v>2030</v>
      </c>
      <c r="H26" s="120">
        <v>41307</v>
      </c>
      <c r="I26" s="119" t="s">
        <v>84</v>
      </c>
      <c r="J26" s="119" t="s">
        <v>48</v>
      </c>
      <c r="K26" s="114">
        <v>3.89</v>
      </c>
      <c r="L26" s="114"/>
      <c r="M26" s="118">
        <f>IF(ISBLANK(MyTransactions[[#This Row],[Withdrawal]]),M25+MyTransactions[[#This Row],[Deposit]],M25-MyTransactions[[#This Row],[Withdrawal]])</f>
        <v>8493.42</v>
      </c>
      <c r="N26" s="114" t="s">
        <v>101</v>
      </c>
      <c r="O26" s="115"/>
      <c r="P26" s="114"/>
      <c r="Q26" s="114"/>
    </row>
    <row r="27" spans="2:17" s="70" customFormat="1" ht="13.8" x14ac:dyDescent="0.3">
      <c r="B27" s="67" t="s">
        <v>42</v>
      </c>
      <c r="C27" s="121">
        <f>SUMIF(MyTransactions[Category],"=" &amp;CategoryTable[[#This Row],[Category]],MyTransactions[Withdrawal])</f>
        <v>0</v>
      </c>
      <c r="D27" s="121"/>
      <c r="E27" s="121"/>
      <c r="G27" s="119">
        <v>3032</v>
      </c>
      <c r="H27" s="120">
        <v>41307</v>
      </c>
      <c r="I27" s="119" t="s">
        <v>93</v>
      </c>
      <c r="J27" s="119" t="s">
        <v>39</v>
      </c>
      <c r="K27" s="114">
        <v>70</v>
      </c>
      <c r="L27" s="114"/>
      <c r="M27" s="118">
        <f>IF(ISBLANK(MyTransactions[[#This Row],[Withdrawal]]),M26+MyTransactions[[#This Row],[Deposit]],M26-MyTransactions[[#This Row],[Withdrawal]])</f>
        <v>8423.42</v>
      </c>
      <c r="N27" s="114" t="s">
        <v>101</v>
      </c>
      <c r="O27" s="115"/>
      <c r="P27" s="114"/>
      <c r="Q27" s="114"/>
    </row>
    <row r="28" spans="2:17" s="70" customFormat="1" ht="13.8" x14ac:dyDescent="0.3">
      <c r="B28" s="67" t="s">
        <v>91</v>
      </c>
      <c r="C28" s="121">
        <f>SUMIF(MyTransactions[Category],"=" &amp;CategoryTable[[#This Row],[Category]],MyTransactions[Withdrawal])</f>
        <v>0</v>
      </c>
      <c r="D28" s="121"/>
      <c r="E28" s="121"/>
      <c r="G28" s="119">
        <v>3033</v>
      </c>
      <c r="H28" s="120">
        <v>41307</v>
      </c>
      <c r="I28" s="119" t="s">
        <v>94</v>
      </c>
      <c r="J28" s="119" t="s">
        <v>67</v>
      </c>
      <c r="K28" s="114">
        <v>1969.25</v>
      </c>
      <c r="L28" s="114"/>
      <c r="M28" s="118">
        <f>IF(ISBLANK(MyTransactions[[#This Row],[Withdrawal]]),M27+MyTransactions[[#This Row],[Deposit]],M27-MyTransactions[[#This Row],[Withdrawal]])</f>
        <v>6454.17</v>
      </c>
      <c r="N28" s="114" t="s">
        <v>101</v>
      </c>
      <c r="O28" s="115"/>
      <c r="P28" s="114"/>
      <c r="Q28" s="114"/>
    </row>
    <row r="29" spans="2:17" s="70" customFormat="1" ht="13.8" x14ac:dyDescent="0.3">
      <c r="B29" s="67" t="s">
        <v>43</v>
      </c>
      <c r="C29" s="121">
        <f>SUMIF(MyTransactions[Category],"=" &amp;CategoryTable[[#This Row],[Category]],MyTransactions[Withdrawal])</f>
        <v>250</v>
      </c>
      <c r="D29" s="121"/>
      <c r="E29" s="121"/>
      <c r="G29" s="119">
        <v>3034</v>
      </c>
      <c r="H29" s="120">
        <v>41307</v>
      </c>
      <c r="I29" s="119" t="s">
        <v>95</v>
      </c>
      <c r="J29" s="119" t="s">
        <v>34</v>
      </c>
      <c r="K29" s="114">
        <v>115</v>
      </c>
      <c r="L29" s="114"/>
      <c r="M29" s="118">
        <f>IF(ISBLANK(MyTransactions[[#This Row],[Withdrawal]]),M28+MyTransactions[[#This Row],[Deposit]],M28-MyTransactions[[#This Row],[Withdrawal]])</f>
        <v>6339.17</v>
      </c>
      <c r="N29" s="114" t="s">
        <v>101</v>
      </c>
      <c r="O29" s="115"/>
      <c r="P29" s="114"/>
      <c r="Q29" s="114"/>
    </row>
    <row r="30" spans="2:17" s="70" customFormat="1" ht="13.8" x14ac:dyDescent="0.3">
      <c r="B30" s="67" t="s">
        <v>44</v>
      </c>
      <c r="C30" s="121">
        <f>SUMIF(MyTransactions[Category],"=" &amp;CategoryTable[[#This Row],[Category]],MyTransactions[Withdrawal])</f>
        <v>347.2</v>
      </c>
      <c r="D30" s="121"/>
      <c r="E30" s="121"/>
      <c r="G30" s="119">
        <v>3035</v>
      </c>
      <c r="H30" s="120">
        <v>41307</v>
      </c>
      <c r="I30" s="119" t="s">
        <v>96</v>
      </c>
      <c r="J30" s="119" t="s">
        <v>51</v>
      </c>
      <c r="K30" s="114">
        <v>80</v>
      </c>
      <c r="L30" s="114"/>
      <c r="M30" s="118">
        <f>IF(ISBLANK(MyTransactions[[#This Row],[Withdrawal]]),M29+MyTransactions[[#This Row],[Deposit]],M29-MyTransactions[[#This Row],[Withdrawal]])</f>
        <v>6259.17</v>
      </c>
      <c r="N30" s="114" t="s">
        <v>101</v>
      </c>
      <c r="O30" s="115"/>
      <c r="P30" s="114"/>
      <c r="Q30" s="114"/>
    </row>
    <row r="31" spans="2:17" s="70" customFormat="1" ht="13.8" x14ac:dyDescent="0.3">
      <c r="B31" s="67" t="s">
        <v>45</v>
      </c>
      <c r="C31" s="121">
        <f>SUMIF(MyTransactions[Category],"=" &amp;CategoryTable[[#This Row],[Category]],MyTransactions[Withdrawal])</f>
        <v>58</v>
      </c>
      <c r="D31" s="121"/>
      <c r="E31" s="121"/>
      <c r="G31" s="119"/>
      <c r="H31" s="120">
        <v>41307</v>
      </c>
      <c r="I31" s="119" t="s">
        <v>99</v>
      </c>
      <c r="J31" s="119" t="s">
        <v>32</v>
      </c>
      <c r="K31" s="114"/>
      <c r="L31" s="114">
        <v>115</v>
      </c>
      <c r="M31" s="118">
        <f>IF(ISBLANK(MyTransactions[[#This Row],[Withdrawal]]),M30+MyTransactions[[#This Row],[Deposit]],M30-MyTransactions[[#This Row],[Withdrawal]])</f>
        <v>6374.17</v>
      </c>
      <c r="N31" s="114" t="s">
        <v>101</v>
      </c>
      <c r="O31" s="115"/>
      <c r="P31" s="114"/>
      <c r="Q31" s="114"/>
    </row>
    <row r="32" spans="2:17" s="70" customFormat="1" ht="13.8" x14ac:dyDescent="0.3">
      <c r="B32" s="67" t="s">
        <v>46</v>
      </c>
      <c r="C32" s="121">
        <f>SUMIF(MyTransactions[Category],"=" &amp;CategoryTable[[#This Row],[Category]],MyTransactions[Withdrawal])</f>
        <v>1265</v>
      </c>
      <c r="D32" s="121"/>
      <c r="E32" s="121"/>
      <c r="G32" s="119"/>
      <c r="H32" s="120">
        <v>41307</v>
      </c>
      <c r="I32" s="119" t="s">
        <v>100</v>
      </c>
      <c r="J32" s="119" t="s">
        <v>33</v>
      </c>
      <c r="K32" s="114"/>
      <c r="L32" s="114">
        <v>79.400000000000006</v>
      </c>
      <c r="M32" s="118">
        <f>IF(ISBLANK(MyTransactions[[#This Row],[Withdrawal]]),M31+MyTransactions[[#This Row],[Deposit]],M31-MyTransactions[[#This Row],[Withdrawal]])</f>
        <v>6453.57</v>
      </c>
      <c r="N32" s="114" t="s">
        <v>101</v>
      </c>
      <c r="O32" s="115"/>
      <c r="P32" s="114"/>
      <c r="Q32" s="114"/>
    </row>
    <row r="33" spans="2:17" s="70" customFormat="1" ht="13.8" x14ac:dyDescent="0.3">
      <c r="B33" s="67" t="s">
        <v>47</v>
      </c>
      <c r="C33" s="121">
        <f>SUMIF(MyTransactions[Category],"=" &amp;CategoryTable[[#This Row],[Category]],MyTransactions[Withdrawal])</f>
        <v>86.81</v>
      </c>
      <c r="D33" s="121"/>
      <c r="E33" s="121"/>
      <c r="G33" s="119">
        <v>3031</v>
      </c>
      <c r="H33" s="120">
        <v>41307</v>
      </c>
      <c r="I33" s="119" t="s">
        <v>87</v>
      </c>
      <c r="J33" s="119"/>
      <c r="K33" s="114">
        <v>0</v>
      </c>
      <c r="L33" s="114"/>
      <c r="M33" s="118">
        <f>IF(ISBLANK(MyTransactions[[#This Row],[Withdrawal]]),M32+MyTransactions[[#This Row],[Deposit]],M32-MyTransactions[[#This Row],[Withdrawal]])</f>
        <v>6453.57</v>
      </c>
      <c r="N33" s="114" t="s">
        <v>101</v>
      </c>
      <c r="O33" s="115"/>
      <c r="P33" s="114"/>
      <c r="Q33" s="114"/>
    </row>
    <row r="34" spans="2:17" s="70" customFormat="1" ht="13.8" x14ac:dyDescent="0.3">
      <c r="B34" s="67" t="s">
        <v>48</v>
      </c>
      <c r="C34" s="121">
        <f>SUMIF(MyTransactions[Category],"=" &amp;CategoryTable[[#This Row],[Category]],MyTransactions[Withdrawal])</f>
        <v>33.980000000000004</v>
      </c>
      <c r="D34" s="121"/>
      <c r="E34" s="121"/>
      <c r="G34" s="119">
        <v>3036</v>
      </c>
      <c r="H34" s="120">
        <v>41330</v>
      </c>
      <c r="I34" s="119" t="s">
        <v>97</v>
      </c>
      <c r="J34" s="119" t="s">
        <v>36</v>
      </c>
      <c r="K34" s="114">
        <v>47</v>
      </c>
      <c r="L34" s="114"/>
      <c r="M34" s="118">
        <f>IF(ISBLANK(MyTransactions[[#This Row],[Withdrawal]]),M33+MyTransactions[[#This Row],[Deposit]],M33-MyTransactions[[#This Row],[Withdrawal]])</f>
        <v>6406.57</v>
      </c>
      <c r="N34" s="114" t="s">
        <v>101</v>
      </c>
      <c r="O34" s="115"/>
      <c r="P34" s="114"/>
      <c r="Q34" s="114"/>
    </row>
    <row r="35" spans="2:17" s="70" customFormat="1" ht="13.8" x14ac:dyDescent="0.3">
      <c r="B35" s="67" t="s">
        <v>49</v>
      </c>
      <c r="C35" s="121">
        <f>SUMIF(MyTransactions[Category],"=" &amp;CategoryTable[[#This Row],[Category]],MyTransactions[Withdrawal])</f>
        <v>135.19999999999999</v>
      </c>
      <c r="D35" s="121"/>
      <c r="E35" s="121"/>
      <c r="G35" s="119">
        <v>3036</v>
      </c>
      <c r="H35" s="120">
        <v>41330</v>
      </c>
      <c r="I35" s="119" t="s">
        <v>98</v>
      </c>
      <c r="J35" s="119" t="s">
        <v>32</v>
      </c>
      <c r="K35" s="114">
        <v>27</v>
      </c>
      <c r="L35" s="114"/>
      <c r="M35" s="118">
        <f>IF(ISBLANK(MyTransactions[[#This Row],[Withdrawal]]),M34+MyTransactions[[#This Row],[Deposit]],M34-MyTransactions[[#This Row],[Withdrawal]])</f>
        <v>6379.57</v>
      </c>
      <c r="N35" s="114" t="s">
        <v>101</v>
      </c>
      <c r="O35" s="115"/>
      <c r="P35" s="114"/>
      <c r="Q35" s="114"/>
    </row>
    <row r="36" spans="2:17" s="70" customFormat="1" ht="13.8" x14ac:dyDescent="0.3">
      <c r="B36" s="67" t="s">
        <v>50</v>
      </c>
      <c r="C36" s="121">
        <f>SUMIF(MyTransactions[Category],"=" &amp;CategoryTable[[#This Row],[Category]],MyTransactions[Withdrawal])</f>
        <v>0</v>
      </c>
      <c r="D36" s="121"/>
      <c r="E36" s="121"/>
      <c r="G36" s="119"/>
      <c r="H36" s="120">
        <v>41333</v>
      </c>
      <c r="I36" s="119" t="s">
        <v>90</v>
      </c>
      <c r="J36" s="119" t="s">
        <v>91</v>
      </c>
      <c r="K36" s="114"/>
      <c r="L36" s="114">
        <v>0.64</v>
      </c>
      <c r="M36" s="118">
        <f>IF(ISBLANK(MyTransactions[[#This Row],[Withdrawal]]),M35+MyTransactions[[#This Row],[Deposit]],M35-MyTransactions[[#This Row],[Withdrawal]])</f>
        <v>6380.21</v>
      </c>
      <c r="N36" s="114" t="s">
        <v>101</v>
      </c>
      <c r="O36" s="115"/>
      <c r="P36" s="114"/>
      <c r="Q36" s="114"/>
    </row>
    <row r="37" spans="2:17" s="70" customFormat="1" ht="13.8" x14ac:dyDescent="0.3">
      <c r="B37" s="67" t="s">
        <v>51</v>
      </c>
      <c r="C37" s="121">
        <f>SUMIF(MyTransactions[Category],"=" &amp;CategoryTable[[#This Row],[Category]],MyTransactions[Withdrawal])</f>
        <v>240</v>
      </c>
      <c r="D37" s="121"/>
      <c r="E37" s="121"/>
      <c r="G37" s="119"/>
      <c r="H37" s="120">
        <v>41362</v>
      </c>
      <c r="I37" s="119" t="s">
        <v>90</v>
      </c>
      <c r="J37" s="119" t="s">
        <v>91</v>
      </c>
      <c r="K37" s="114"/>
      <c r="L37" s="114">
        <v>0.71</v>
      </c>
      <c r="M37" s="118">
        <f>IF(ISBLANK(MyTransactions[[#This Row],[Withdrawal]]),M36+MyTransactions[[#This Row],[Deposit]],M36-MyTransactions[[#This Row],[Withdrawal]])</f>
        <v>6380.92</v>
      </c>
      <c r="N37" s="114" t="s">
        <v>101</v>
      </c>
      <c r="O37" s="115"/>
      <c r="P37" s="114"/>
      <c r="Q37" s="114"/>
    </row>
    <row r="38" spans="2:17" s="70" customFormat="1" ht="13.8" x14ac:dyDescent="0.3">
      <c r="B38" s="67" t="s">
        <v>52</v>
      </c>
      <c r="C38" s="121">
        <f>SUMIF(MyTransactions[Category],"=" &amp;CategoryTable[[#This Row],[Category]],MyTransactions[Withdrawal])</f>
        <v>20</v>
      </c>
      <c r="D38" s="121"/>
      <c r="E38" s="121"/>
      <c r="G38" s="119">
        <v>3037</v>
      </c>
      <c r="H38" s="120">
        <v>41363</v>
      </c>
      <c r="I38" s="119" t="s">
        <v>104</v>
      </c>
      <c r="J38" s="119" t="s">
        <v>52</v>
      </c>
      <c r="K38" s="114">
        <v>20</v>
      </c>
      <c r="L38" s="114"/>
      <c r="M38" s="118">
        <f>IF(ISBLANK(MyTransactions[[#This Row],[Withdrawal]]),M37+MyTransactions[[#This Row],[Deposit]],M37-MyTransactions[[#This Row],[Withdrawal]])</f>
        <v>6360.92</v>
      </c>
      <c r="N38" s="114" t="s">
        <v>101</v>
      </c>
      <c r="O38" s="115"/>
      <c r="P38" s="114"/>
      <c r="Q38" s="114"/>
    </row>
    <row r="39" spans="2:17" s="70" customFormat="1" ht="13.8" x14ac:dyDescent="0.3">
      <c r="B39" s="67" t="s">
        <v>53</v>
      </c>
      <c r="C39" s="121">
        <f>SUMIF(MyTransactions[Category],"=" &amp;CategoryTable[[#This Row],[Category]],MyTransactions[Withdrawal])</f>
        <v>13.25</v>
      </c>
      <c r="D39" s="121"/>
      <c r="E39" s="121"/>
      <c r="G39" s="119">
        <v>3038</v>
      </c>
      <c r="H39" s="120">
        <v>41363</v>
      </c>
      <c r="I39" s="119" t="s">
        <v>105</v>
      </c>
      <c r="J39" s="119" t="s">
        <v>43</v>
      </c>
      <c r="K39" s="114">
        <v>50</v>
      </c>
      <c r="L39" s="114"/>
      <c r="M39" s="118">
        <f>IF(ISBLANK(MyTransactions[[#This Row],[Withdrawal]]),M38+MyTransactions[[#This Row],[Deposit]],M38-MyTransactions[[#This Row],[Withdrawal]])</f>
        <v>6310.92</v>
      </c>
      <c r="N39" s="114" t="s">
        <v>101</v>
      </c>
      <c r="O39" s="115"/>
      <c r="P39" s="114"/>
      <c r="Q39" s="114"/>
    </row>
    <row r="40" spans="2:17" s="70" customFormat="1" ht="13.8" x14ac:dyDescent="0.3">
      <c r="B40" s="67" t="s">
        <v>54</v>
      </c>
      <c r="C40" s="121">
        <f>SUMIF(MyTransactions[Category],"=" &amp;CategoryTable[[#This Row],[Category]],MyTransactions[Withdrawal])</f>
        <v>0</v>
      </c>
      <c r="D40" s="121"/>
      <c r="E40" s="121"/>
      <c r="G40" s="119">
        <v>3039</v>
      </c>
      <c r="H40" s="120">
        <v>41363</v>
      </c>
      <c r="I40" s="119" t="s">
        <v>93</v>
      </c>
      <c r="J40" s="119" t="s">
        <v>39</v>
      </c>
      <c r="K40" s="114">
        <v>70</v>
      </c>
      <c r="L40" s="114"/>
      <c r="M40" s="118">
        <f>IF(ISBLANK(MyTransactions[[#This Row],[Withdrawal]]),M39+MyTransactions[[#This Row],[Deposit]],M39-MyTransactions[[#This Row],[Withdrawal]])</f>
        <v>6240.92</v>
      </c>
      <c r="N40" s="114" t="s">
        <v>101</v>
      </c>
      <c r="O40" s="115"/>
      <c r="P40" s="114"/>
      <c r="Q40" s="114"/>
    </row>
    <row r="41" spans="2:17" s="70" customFormat="1" ht="13.8" x14ac:dyDescent="0.3">
      <c r="B41" s="67" t="s">
        <v>55</v>
      </c>
      <c r="C41" s="121">
        <f>SUMIF(MyTransactions[Category],"=" &amp;CategoryTable[[#This Row],[Category]],MyTransactions[Withdrawal])</f>
        <v>0</v>
      </c>
      <c r="D41" s="121"/>
      <c r="E41" s="121"/>
      <c r="G41" s="119">
        <v>3039</v>
      </c>
      <c r="H41" s="120">
        <v>41363</v>
      </c>
      <c r="I41" s="119" t="s">
        <v>93</v>
      </c>
      <c r="J41" s="119" t="s">
        <v>70</v>
      </c>
      <c r="K41" s="114">
        <v>43.2</v>
      </c>
      <c r="L41" s="114"/>
      <c r="M41" s="118">
        <f>IF(ISBLANK(MyTransactions[[#This Row],[Withdrawal]]),M40+MyTransactions[[#This Row],[Deposit]],M40-MyTransactions[[#This Row],[Withdrawal]])</f>
        <v>6197.72</v>
      </c>
      <c r="N41" s="114" t="s">
        <v>101</v>
      </c>
      <c r="O41" s="115"/>
      <c r="P41" s="114"/>
      <c r="Q41" s="114"/>
    </row>
    <row r="42" spans="2:17" s="70" customFormat="1" ht="13.8" x14ac:dyDescent="0.3">
      <c r="B42" s="67" t="s">
        <v>56</v>
      </c>
      <c r="C42" s="121">
        <f>SUMIF(MyTransactions[Category],"=" &amp;CategoryTable[[#This Row],[Category]],MyTransactions[Withdrawal])</f>
        <v>0</v>
      </c>
      <c r="D42" s="121"/>
      <c r="E42" s="121"/>
      <c r="G42" s="119">
        <v>3040</v>
      </c>
      <c r="H42" s="120">
        <v>41363</v>
      </c>
      <c r="I42" s="119" t="s">
        <v>106</v>
      </c>
      <c r="J42" s="119" t="s">
        <v>67</v>
      </c>
      <c r="K42" s="114">
        <v>100</v>
      </c>
      <c r="L42" s="114"/>
      <c r="M42" s="118">
        <f>IF(ISBLANK(MyTransactions[[#This Row],[Withdrawal]]),M41+MyTransactions[[#This Row],[Deposit]],M41-MyTransactions[[#This Row],[Withdrawal]])</f>
        <v>6097.72</v>
      </c>
      <c r="N42" s="114" t="s">
        <v>101</v>
      </c>
      <c r="O42" s="115"/>
      <c r="P42" s="114"/>
      <c r="Q42" s="114"/>
    </row>
    <row r="43" spans="2:17" s="70" customFormat="1" ht="13.8" x14ac:dyDescent="0.3">
      <c r="B43" s="67" t="s">
        <v>57</v>
      </c>
      <c r="C43" s="121">
        <f>SUMIF(MyTransactions[Category],"=" &amp;CategoryTable[[#This Row],[Category]],MyTransactions[Withdrawal])</f>
        <v>0</v>
      </c>
      <c r="D43" s="121"/>
      <c r="E43" s="121"/>
      <c r="G43" s="119">
        <v>3041</v>
      </c>
      <c r="H43" s="120">
        <v>41363</v>
      </c>
      <c r="I43" s="119" t="s">
        <v>107</v>
      </c>
      <c r="J43" s="119" t="s">
        <v>49</v>
      </c>
      <c r="K43" s="114">
        <v>100</v>
      </c>
      <c r="L43" s="114"/>
      <c r="M43" s="118">
        <f>IF(ISBLANK(MyTransactions[[#This Row],[Withdrawal]]),M42+MyTransactions[[#This Row],[Deposit]],M42-MyTransactions[[#This Row],[Withdrawal]])</f>
        <v>5997.72</v>
      </c>
      <c r="N43" s="114" t="s">
        <v>101</v>
      </c>
      <c r="O43" s="115"/>
      <c r="P43" s="114"/>
      <c r="Q43" s="114"/>
    </row>
    <row r="44" spans="2:17" s="70" customFormat="1" ht="13.8" x14ac:dyDescent="0.3">
      <c r="B44" s="67" t="s">
        <v>58</v>
      </c>
      <c r="C44" s="121">
        <f>SUMIF(MyTransactions[Category],"=" &amp;CategoryTable[[#This Row],[Category]],MyTransactions[Withdrawal])</f>
        <v>1989</v>
      </c>
      <c r="D44" s="121"/>
      <c r="E44" s="121"/>
      <c r="G44" s="119">
        <v>3042</v>
      </c>
      <c r="H44" s="120">
        <v>41363</v>
      </c>
      <c r="I44" s="119" t="s">
        <v>84</v>
      </c>
      <c r="J44" s="119" t="s">
        <v>48</v>
      </c>
      <c r="K44" s="114">
        <v>5.4</v>
      </c>
      <c r="L44" s="114"/>
      <c r="M44" s="118">
        <f>IF(ISBLANK(MyTransactions[[#This Row],[Withdrawal]]),M43+MyTransactions[[#This Row],[Deposit]],M43-MyTransactions[[#This Row],[Withdrawal]])</f>
        <v>5992.3200000000006</v>
      </c>
      <c r="N44" s="114" t="s">
        <v>101</v>
      </c>
      <c r="O44" s="115"/>
      <c r="P44" s="114"/>
      <c r="Q44" s="114"/>
    </row>
    <row r="45" spans="2:17" s="70" customFormat="1" ht="13.8" x14ac:dyDescent="0.3">
      <c r="B45" s="67" t="s">
        <v>59</v>
      </c>
      <c r="C45" s="121">
        <f>SUMIF(MyTransactions[Category],"=" &amp;CategoryTable[[#This Row],[Category]],MyTransactions[Withdrawal])</f>
        <v>1326</v>
      </c>
      <c r="D45" s="121"/>
      <c r="E45" s="121"/>
      <c r="G45" s="119">
        <v>3042</v>
      </c>
      <c r="H45" s="120">
        <v>41363</v>
      </c>
      <c r="I45" s="119" t="s">
        <v>84</v>
      </c>
      <c r="J45" s="119" t="s">
        <v>47</v>
      </c>
      <c r="K45" s="114">
        <v>7.47</v>
      </c>
      <c r="L45" s="114"/>
      <c r="M45" s="118">
        <f>IF(ISBLANK(MyTransactions[[#This Row],[Withdrawal]]),M44+MyTransactions[[#This Row],[Deposit]],M44-MyTransactions[[#This Row],[Withdrawal]])</f>
        <v>5984.85</v>
      </c>
      <c r="N45" s="114" t="s">
        <v>101</v>
      </c>
      <c r="O45" s="115"/>
      <c r="P45" s="114"/>
      <c r="Q45" s="114"/>
    </row>
    <row r="46" spans="2:17" s="70" customFormat="1" ht="13.8" x14ac:dyDescent="0.3">
      <c r="B46" s="67" t="s">
        <v>60</v>
      </c>
      <c r="C46" s="121">
        <f>SUMIF(MyTransactions[Category],"=" &amp;CategoryTable[[#This Row],[Category]],MyTransactions[Deposit])</f>
        <v>5218.9799999999996</v>
      </c>
      <c r="D46" s="121"/>
      <c r="E46" s="121"/>
      <c r="G46" s="119">
        <v>3044</v>
      </c>
      <c r="H46" s="120">
        <v>41363</v>
      </c>
      <c r="I46" s="119" t="s">
        <v>110</v>
      </c>
      <c r="J46" s="119"/>
      <c r="K46" s="114">
        <v>411.9</v>
      </c>
      <c r="L46" s="114"/>
      <c r="M46" s="118">
        <f>IF(ISBLANK(MyTransactions[[#This Row],[Withdrawal]]),M45+MyTransactions[[#This Row],[Deposit]],M45-MyTransactions[[#This Row],[Withdrawal]])</f>
        <v>5572.9500000000007</v>
      </c>
      <c r="N46" s="114" t="s">
        <v>101</v>
      </c>
      <c r="O46" s="115"/>
      <c r="P46" s="114"/>
      <c r="Q46" s="114"/>
    </row>
    <row r="47" spans="2:17" s="70" customFormat="1" ht="13.8" x14ac:dyDescent="0.3">
      <c r="B47" s="67" t="s">
        <v>61</v>
      </c>
      <c r="C47" s="121">
        <f>SUMIF(MyTransactions[Category],"=" &amp;CategoryTable[[#This Row],[Category]],MyTransactions[Deposit])</f>
        <v>10014.44</v>
      </c>
      <c r="D47" s="121"/>
      <c r="E47" s="121"/>
      <c r="G47" s="119">
        <v>3045</v>
      </c>
      <c r="H47" s="120">
        <v>41363</v>
      </c>
      <c r="I47" s="119" t="s">
        <v>109</v>
      </c>
      <c r="J47" s="119"/>
      <c r="K47" s="114">
        <v>119.95</v>
      </c>
      <c r="L47" s="114"/>
      <c r="M47" s="118">
        <f>IF(ISBLANK(MyTransactions[[#This Row],[Withdrawal]]),M46+MyTransactions[[#This Row],[Deposit]],M46-MyTransactions[[#This Row],[Withdrawal]])</f>
        <v>5453.0000000000009</v>
      </c>
      <c r="N47" s="114" t="s">
        <v>101</v>
      </c>
      <c r="O47" s="115"/>
      <c r="P47" s="114"/>
      <c r="Q47" s="114"/>
    </row>
    <row r="48" spans="2:17" s="70" customFormat="1" ht="13.8" x14ac:dyDescent="0.3">
      <c r="B48" s="67" t="s">
        <v>62</v>
      </c>
      <c r="C48" s="121">
        <f>SUMIF(MyTransactions[Category],"=" &amp;CategoryTable[[#This Row],[Category]],MyTransactions[Withdrawal])</f>
        <v>0</v>
      </c>
      <c r="D48" s="121"/>
      <c r="E48" s="121"/>
      <c r="G48" s="119"/>
      <c r="H48" s="120">
        <v>41363</v>
      </c>
      <c r="I48" s="119" t="s">
        <v>111</v>
      </c>
      <c r="J48" s="119" t="s">
        <v>32</v>
      </c>
      <c r="K48" s="114"/>
      <c r="L48" s="114">
        <v>27</v>
      </c>
      <c r="M48" s="118">
        <f>IF(ISBLANK(MyTransactions[[#This Row],[Withdrawal]]),M47+MyTransactions[[#This Row],[Deposit]],M47-MyTransactions[[#This Row],[Withdrawal]])</f>
        <v>5480.0000000000009</v>
      </c>
      <c r="N48" s="114" t="s">
        <v>101</v>
      </c>
      <c r="O48" s="115"/>
      <c r="P48" s="114"/>
      <c r="Q48" s="114"/>
    </row>
    <row r="49" spans="2:17" s="70" customFormat="1" ht="13.8" x14ac:dyDescent="0.3">
      <c r="B49" s="67" t="s">
        <v>63</v>
      </c>
      <c r="C49" s="121">
        <f>SUMIF(MyTransactions[Category],"=" &amp;CategoryTable[[#This Row],[Category]],MyTransactions[Withdrawal])</f>
        <v>100</v>
      </c>
      <c r="D49" s="121"/>
      <c r="E49" s="121"/>
      <c r="G49" s="119"/>
      <c r="H49" s="120">
        <v>41363</v>
      </c>
      <c r="I49" s="119" t="s">
        <v>112</v>
      </c>
      <c r="J49" s="119" t="s">
        <v>51</v>
      </c>
      <c r="K49" s="114"/>
      <c r="L49" s="114">
        <v>80</v>
      </c>
      <c r="M49" s="118">
        <f>IF(ISBLANK(MyTransactions[[#This Row],[Withdrawal]]),M48+MyTransactions[[#This Row],[Deposit]],M48-MyTransactions[[#This Row],[Withdrawal]])</f>
        <v>5560.0000000000009</v>
      </c>
      <c r="N49" s="114" t="s">
        <v>101</v>
      </c>
      <c r="O49" s="115"/>
      <c r="P49" s="114"/>
      <c r="Q49" s="114"/>
    </row>
    <row r="50" spans="2:17" s="70" customFormat="1" ht="13.8" x14ac:dyDescent="0.3">
      <c r="B50" s="67" t="s">
        <v>64</v>
      </c>
      <c r="C50" s="121">
        <f>SUMIF(MyTransactions[Category],"=" &amp;CategoryTable[[#This Row],[Category]],MyTransactions[Withdrawal])</f>
        <v>50</v>
      </c>
      <c r="D50" s="121"/>
      <c r="E50" s="121"/>
      <c r="G50" s="119"/>
      <c r="H50" s="120">
        <v>41363</v>
      </c>
      <c r="I50" s="119" t="s">
        <v>114</v>
      </c>
      <c r="J50" s="119" t="s">
        <v>53</v>
      </c>
      <c r="K50" s="114">
        <v>13.25</v>
      </c>
      <c r="L50" s="114"/>
      <c r="M50" s="118">
        <f>IF(ISBLANK(MyTransactions[[#This Row],[Withdrawal]]),M49+MyTransactions[[#This Row],[Deposit]],M49-MyTransactions[[#This Row],[Withdrawal]])</f>
        <v>5546.7500000000009</v>
      </c>
      <c r="N50" s="114" t="s">
        <v>101</v>
      </c>
      <c r="O50" s="115"/>
      <c r="P50" s="114"/>
      <c r="Q50" s="114"/>
    </row>
    <row r="51" spans="2:17" s="70" customFormat="1" ht="13.8" x14ac:dyDescent="0.3">
      <c r="B51" s="67" t="s">
        <v>65</v>
      </c>
      <c r="C51" s="121">
        <f>SUMIF(MyTransactions[Category],"=" &amp;CategoryTable[[#This Row],[Category]],MyTransactions[Withdrawal])</f>
        <v>0</v>
      </c>
      <c r="D51" s="121"/>
      <c r="E51" s="121"/>
      <c r="G51" s="119">
        <v>3046</v>
      </c>
      <c r="H51" s="120">
        <v>41363</v>
      </c>
      <c r="I51" s="119" t="s">
        <v>117</v>
      </c>
      <c r="J51" s="119" t="s">
        <v>44</v>
      </c>
      <c r="K51" s="114">
        <v>320</v>
      </c>
      <c r="L51" s="114"/>
      <c r="M51" s="118">
        <f>IF(ISBLANK(MyTransactions[[#This Row],[Withdrawal]]),M50+MyTransactions[[#This Row],[Deposit]],M50-MyTransactions[[#This Row],[Withdrawal]])</f>
        <v>5226.7500000000009</v>
      </c>
      <c r="N51" s="114" t="s">
        <v>101</v>
      </c>
      <c r="O51" s="115"/>
      <c r="P51" s="114"/>
      <c r="Q51" s="114"/>
    </row>
    <row r="52" spans="2:17" s="70" customFormat="1" ht="13.8" x14ac:dyDescent="0.3">
      <c r="B52" s="67" t="s">
        <v>66</v>
      </c>
      <c r="C52" s="121">
        <f>SUMIF(MyTransactions[Category],"=" &amp;CategoryTable[[#This Row],[Category]],MyTransactions[Withdrawal])</f>
        <v>3291.31</v>
      </c>
      <c r="D52" s="121"/>
      <c r="E52" s="121"/>
      <c r="G52" s="119">
        <v>3047</v>
      </c>
      <c r="H52" s="120">
        <v>41363</v>
      </c>
      <c r="I52" s="119" t="s">
        <v>118</v>
      </c>
      <c r="J52" s="119" t="s">
        <v>34</v>
      </c>
      <c r="K52" s="114">
        <v>75</v>
      </c>
      <c r="L52" s="114"/>
      <c r="M52" s="118">
        <f>IF(ISBLANK(MyTransactions[[#This Row],[Withdrawal]]),M51+MyTransactions[[#This Row],[Deposit]],M51-MyTransactions[[#This Row],[Withdrawal]])</f>
        <v>5151.7500000000009</v>
      </c>
      <c r="N52" s="114" t="s">
        <v>101</v>
      </c>
      <c r="O52" s="115"/>
      <c r="P52" s="114"/>
      <c r="Q52" s="114"/>
    </row>
    <row r="53" spans="2:17" s="70" customFormat="1" ht="13.8" x14ac:dyDescent="0.3">
      <c r="B53" s="67" t="s">
        <v>67</v>
      </c>
      <c r="C53" s="121">
        <f>SUMIF(MyTransactions[Category],"=" &amp;CategoryTable[[#This Row],[Category]],MyTransactions[Withdrawal])</f>
        <v>3857.21</v>
      </c>
      <c r="D53" s="121"/>
      <c r="E53" s="121"/>
      <c r="G53" s="119">
        <v>3043</v>
      </c>
      <c r="H53" s="120">
        <v>41363</v>
      </c>
      <c r="I53" s="119" t="s">
        <v>108</v>
      </c>
      <c r="J53" s="119"/>
      <c r="K53" s="114"/>
      <c r="L53" s="114"/>
      <c r="M53" s="118">
        <f>IF(ISBLANK(MyTransactions[[#This Row],[Withdrawal]]),M52+MyTransactions[[#This Row],[Deposit]],M52-MyTransactions[[#This Row],[Withdrawal]])</f>
        <v>5151.7500000000009</v>
      </c>
      <c r="N53" s="114" t="s">
        <v>101</v>
      </c>
      <c r="O53" s="115"/>
      <c r="P53" s="114"/>
      <c r="Q53" s="114"/>
    </row>
    <row r="54" spans="2:17" s="70" customFormat="1" ht="13.8" x14ac:dyDescent="0.3">
      <c r="B54" s="67" t="s">
        <v>68</v>
      </c>
      <c r="C54" s="121">
        <f>SUMIF(MyTransactions[Category],"=" &amp;CategoryTable[[#This Row],[Category]],MyTransactions[Withdrawal])</f>
        <v>479</v>
      </c>
      <c r="D54" s="121"/>
      <c r="E54" s="121"/>
      <c r="G54" s="119"/>
      <c r="H54" s="120">
        <v>41394</v>
      </c>
      <c r="I54" s="119" t="s">
        <v>90</v>
      </c>
      <c r="J54" s="119" t="s">
        <v>91</v>
      </c>
      <c r="K54" s="114"/>
      <c r="L54" s="114">
        <v>0.49</v>
      </c>
      <c r="M54" s="118">
        <f>IF(ISBLANK(MyTransactions[[#This Row],[Withdrawal]]),M53+MyTransactions[[#This Row],[Deposit]],M53-MyTransactions[[#This Row],[Withdrawal]])</f>
        <v>5152.2400000000007</v>
      </c>
      <c r="N54" s="114" t="s">
        <v>101</v>
      </c>
      <c r="O54" s="115"/>
      <c r="P54" s="114"/>
      <c r="Q54" s="114"/>
    </row>
    <row r="55" spans="2:17" s="70" customFormat="1" ht="13.8" x14ac:dyDescent="0.3">
      <c r="B55" s="67" t="s">
        <v>69</v>
      </c>
      <c r="C55" s="121">
        <f>SUMIF(MyTransactions[Category],"=" &amp;CategoryTable[[#This Row],[Category]],MyTransactions[Withdrawal])</f>
        <v>4344</v>
      </c>
      <c r="D55" s="121"/>
      <c r="E55" s="121"/>
      <c r="G55" s="119"/>
      <c r="H55" s="120">
        <v>41398</v>
      </c>
      <c r="I55" s="119" t="s">
        <v>113</v>
      </c>
      <c r="J55" s="119" t="s">
        <v>60</v>
      </c>
      <c r="K55" s="114"/>
      <c r="L55" s="114">
        <v>655</v>
      </c>
      <c r="M55" s="118">
        <f>IF(ISBLANK(MyTransactions[[#This Row],[Withdrawal]]),M54+MyTransactions[[#This Row],[Deposit]],M54-MyTransactions[[#This Row],[Withdrawal]])</f>
        <v>5807.2400000000007</v>
      </c>
      <c r="N55" s="114" t="s">
        <v>101</v>
      </c>
      <c r="O55" s="115"/>
      <c r="P55" s="114"/>
      <c r="Q55" s="114"/>
    </row>
    <row r="56" spans="2:17" s="70" customFormat="1" ht="13.8" x14ac:dyDescent="0.3">
      <c r="B56" s="67" t="s">
        <v>70</v>
      </c>
      <c r="C56" s="121">
        <f>SUMIF(MyTransactions[Category],"=" &amp;CategoryTable[[#This Row],[Category]],MyTransactions[Withdrawal])</f>
        <v>256.21999999999997</v>
      </c>
      <c r="D56" s="121"/>
      <c r="E56" s="121"/>
      <c r="G56" s="119"/>
      <c r="H56" s="120">
        <v>41407</v>
      </c>
      <c r="I56" s="119" t="s">
        <v>141</v>
      </c>
      <c r="J56" s="119" t="s">
        <v>61</v>
      </c>
      <c r="K56" s="114"/>
      <c r="L56" s="114">
        <v>95</v>
      </c>
      <c r="M56" s="118">
        <f>IF(ISBLANK(MyTransactions[[#This Row],[Withdrawal]]),M55+MyTransactions[[#This Row],[Deposit]],M55-MyTransactions[[#This Row],[Withdrawal]])</f>
        <v>5902.2400000000007</v>
      </c>
      <c r="N56" s="114" t="s">
        <v>101</v>
      </c>
      <c r="O56" s="115"/>
      <c r="P56" s="114"/>
      <c r="Q56" s="114"/>
    </row>
    <row r="57" spans="2:17" s="70" customFormat="1" ht="13.8" x14ac:dyDescent="0.3">
      <c r="B57" s="67" t="s">
        <v>71</v>
      </c>
      <c r="C57" s="121">
        <f>SUMIF(MyTransactions[Category],"=" &amp;CategoryTable[[#This Row],[Category]],MyTransactions[Withdrawal])</f>
        <v>36.36</v>
      </c>
      <c r="D57" s="121"/>
      <c r="E57" s="121"/>
      <c r="G57" s="119"/>
      <c r="H57" s="120">
        <v>41425</v>
      </c>
      <c r="I57" s="119" t="s">
        <v>90</v>
      </c>
      <c r="J57" s="119" t="s">
        <v>91</v>
      </c>
      <c r="K57" s="114"/>
      <c r="L57" s="114">
        <v>0.48</v>
      </c>
      <c r="M57" s="118">
        <f>IF(ISBLANK(MyTransactions[[#This Row],[Withdrawal]]),M56+MyTransactions[[#This Row],[Deposit]],M56-MyTransactions[[#This Row],[Withdrawal]])</f>
        <v>5902.72</v>
      </c>
      <c r="N57" s="114" t="s">
        <v>101</v>
      </c>
      <c r="O57" s="115"/>
      <c r="P57" s="114"/>
      <c r="Q57" s="114"/>
    </row>
    <row r="58" spans="2:17" s="70" customFormat="1" ht="13.8" x14ac:dyDescent="0.3">
      <c r="B58" s="67" t="s">
        <v>72</v>
      </c>
      <c r="C58" s="121">
        <f>SUMIF(MyTransactions[Category],"=" &amp;CategoryTable[[#This Row],[Category]],MyTransactions[Withdrawal])</f>
        <v>0</v>
      </c>
      <c r="D58" s="121"/>
      <c r="E58" s="121"/>
      <c r="G58" s="119">
        <v>3048</v>
      </c>
      <c r="H58" s="120">
        <v>41426</v>
      </c>
      <c r="I58" s="119" t="s">
        <v>92</v>
      </c>
      <c r="J58" s="119" t="s">
        <v>43</v>
      </c>
      <c r="K58" s="114">
        <v>50</v>
      </c>
      <c r="L58" s="114"/>
      <c r="M58" s="118">
        <f>IF(ISBLANK(MyTransactions[[#This Row],[Withdrawal]]),M57+MyTransactions[[#This Row],[Deposit]],M57-MyTransactions[[#This Row],[Withdrawal]])</f>
        <v>5852.72</v>
      </c>
      <c r="N58" s="114" t="s">
        <v>101</v>
      </c>
      <c r="O58" s="115"/>
      <c r="P58" s="114"/>
      <c r="Q58" s="114"/>
    </row>
    <row r="59" spans="2:17" s="70" customFormat="1" ht="13.8" x14ac:dyDescent="0.3">
      <c r="B59" s="67" t="s">
        <v>73</v>
      </c>
      <c r="C59" s="121">
        <f>SUMIF(MyTransactions[Category],"=" &amp;CategoryTable[[#This Row],[Category]],MyTransactions[Withdrawal])</f>
        <v>50</v>
      </c>
      <c r="D59" s="121"/>
      <c r="E59" s="121"/>
      <c r="G59" s="119">
        <v>3049</v>
      </c>
      <c r="H59" s="120">
        <v>41426</v>
      </c>
      <c r="I59" s="119" t="s">
        <v>84</v>
      </c>
      <c r="J59" s="119" t="s">
        <v>47</v>
      </c>
      <c r="K59" s="114">
        <v>7.97</v>
      </c>
      <c r="L59" s="114"/>
      <c r="M59" s="118">
        <f>IF(ISBLANK(MyTransactions[[#This Row],[Withdrawal]]),M58+MyTransactions[[#This Row],[Deposit]],M58-MyTransactions[[#This Row],[Withdrawal]])</f>
        <v>5844.75</v>
      </c>
      <c r="N59" s="114" t="s">
        <v>101</v>
      </c>
      <c r="O59" s="115"/>
      <c r="P59" s="114"/>
      <c r="Q59" s="114"/>
    </row>
    <row r="60" spans="2:17" s="70" customFormat="1" ht="13.8" x14ac:dyDescent="0.3">
      <c r="B60" s="67" t="s">
        <v>74</v>
      </c>
      <c r="C60" s="121">
        <f>SUMIF(MyTransactions[Category],"=" &amp;CategoryTable[[#This Row],[Category]],MyTransactions[Withdrawal])</f>
        <v>45.34</v>
      </c>
      <c r="D60" s="121"/>
      <c r="E60" s="121"/>
      <c r="G60" s="119">
        <v>3049</v>
      </c>
      <c r="H60" s="120">
        <v>41426</v>
      </c>
      <c r="I60" s="119" t="s">
        <v>119</v>
      </c>
      <c r="J60" s="119" t="s">
        <v>48</v>
      </c>
      <c r="K60" s="114">
        <v>12.52</v>
      </c>
      <c r="L60" s="114"/>
      <c r="M60" s="118">
        <f>IF(ISBLANK(MyTransactions[[#This Row],[Withdrawal]]),M59+MyTransactions[[#This Row],[Deposit]],M59-MyTransactions[[#This Row],[Withdrawal]])</f>
        <v>5832.23</v>
      </c>
      <c r="N60" s="114" t="s">
        <v>101</v>
      </c>
      <c r="O60" s="115"/>
      <c r="P60" s="114"/>
      <c r="Q60" s="114"/>
    </row>
    <row r="61" spans="2:17" s="70" customFormat="1" ht="13.8" x14ac:dyDescent="0.3">
      <c r="B61" s="67"/>
      <c r="C61" s="121">
        <f>SUBTOTAL(109,C16:C60)</f>
        <v>48922.16</v>
      </c>
      <c r="D61" s="121"/>
      <c r="E61" s="121"/>
      <c r="G61" s="119">
        <v>3050</v>
      </c>
      <c r="H61" s="120">
        <v>41426</v>
      </c>
      <c r="I61" s="119" t="s">
        <v>93</v>
      </c>
      <c r="J61" s="119" t="s">
        <v>39</v>
      </c>
      <c r="K61" s="114">
        <v>73.8</v>
      </c>
      <c r="L61" s="114"/>
      <c r="M61" s="118">
        <f>IF(ISBLANK(MyTransactions[[#This Row],[Withdrawal]]),M60+MyTransactions[[#This Row],[Deposit]],M60-MyTransactions[[#This Row],[Withdrawal]])</f>
        <v>5758.4299999999994</v>
      </c>
      <c r="N61" s="114" t="s">
        <v>101</v>
      </c>
      <c r="O61" s="115"/>
      <c r="P61" s="114"/>
      <c r="Q61" s="114"/>
    </row>
    <row r="62" spans="2:17" s="70" customFormat="1" ht="13.8" x14ac:dyDescent="0.3">
      <c r="G62" s="119">
        <v>3051</v>
      </c>
      <c r="H62" s="120">
        <v>41426</v>
      </c>
      <c r="I62" s="119" t="s">
        <v>120</v>
      </c>
      <c r="J62" s="119" t="s">
        <v>51</v>
      </c>
      <c r="K62" s="114">
        <v>80</v>
      </c>
      <c r="L62" s="114"/>
      <c r="M62" s="118">
        <f>IF(ISBLANK(MyTransactions[[#This Row],[Withdrawal]]),M61+MyTransactions[[#This Row],[Deposit]],M61-MyTransactions[[#This Row],[Withdrawal]])</f>
        <v>5678.4299999999994</v>
      </c>
      <c r="N62" s="114" t="s">
        <v>101</v>
      </c>
      <c r="O62" s="115"/>
      <c r="P62" s="114"/>
      <c r="Q62" s="114"/>
    </row>
    <row r="63" spans="2:17" s="70" customFormat="1" ht="13.8" x14ac:dyDescent="0.3">
      <c r="G63" s="119"/>
      <c r="H63" s="120">
        <v>41436</v>
      </c>
      <c r="I63" s="119" t="s">
        <v>124</v>
      </c>
      <c r="J63" s="119" t="s">
        <v>32</v>
      </c>
      <c r="K63" s="114"/>
      <c r="L63" s="114">
        <v>187.53</v>
      </c>
      <c r="M63" s="118">
        <f>IF(ISBLANK(MyTransactions[[#This Row],[Withdrawal]]),M62+MyTransactions[[#This Row],[Deposit]],M62-MyTransactions[[#This Row],[Withdrawal]])</f>
        <v>5865.9599999999991</v>
      </c>
      <c r="N63" s="114" t="s">
        <v>101</v>
      </c>
      <c r="O63" s="115"/>
      <c r="P63" s="114"/>
      <c r="Q63" s="114"/>
    </row>
    <row r="64" spans="2:17" s="70" customFormat="1" ht="13.8" x14ac:dyDescent="0.3">
      <c r="G64" s="119"/>
      <c r="H64" s="120">
        <v>41455</v>
      </c>
      <c r="I64" s="119" t="s">
        <v>90</v>
      </c>
      <c r="J64" s="119" t="s">
        <v>91</v>
      </c>
      <c r="K64" s="114"/>
      <c r="L64" s="114">
        <v>0.49</v>
      </c>
      <c r="M64" s="118">
        <f>IF(ISBLANK(MyTransactions[[#This Row],[Withdrawal]]),M63+MyTransactions[[#This Row],[Deposit]],M63-MyTransactions[[#This Row],[Withdrawal]])</f>
        <v>5866.4499999999989</v>
      </c>
      <c r="N64" s="114" t="s">
        <v>101</v>
      </c>
      <c r="O64" s="115"/>
      <c r="P64" s="114"/>
      <c r="Q64" s="114"/>
    </row>
    <row r="65" spans="7:17" s="70" customFormat="1" ht="13.8" x14ac:dyDescent="0.3">
      <c r="G65" s="119">
        <v>3052</v>
      </c>
      <c r="H65" s="120">
        <v>41462</v>
      </c>
      <c r="I65" s="119" t="s">
        <v>121</v>
      </c>
      <c r="J65" s="119" t="s">
        <v>71</v>
      </c>
      <c r="K65" s="114">
        <v>15</v>
      </c>
      <c r="L65" s="114"/>
      <c r="M65" s="118">
        <f>IF(ISBLANK(MyTransactions[[#This Row],[Withdrawal]]),M64+MyTransactions[[#This Row],[Deposit]],M64-MyTransactions[[#This Row],[Withdrawal]])</f>
        <v>5851.4499999999989</v>
      </c>
      <c r="N65" s="114" t="s">
        <v>101</v>
      </c>
      <c r="O65" s="115"/>
      <c r="P65" s="114"/>
      <c r="Q65" s="114"/>
    </row>
    <row r="66" spans="7:17" s="70" customFormat="1" ht="13.8" x14ac:dyDescent="0.3">
      <c r="G66" s="119">
        <v>3053</v>
      </c>
      <c r="H66" s="120">
        <v>41462</v>
      </c>
      <c r="I66" s="119" t="s">
        <v>122</v>
      </c>
      <c r="J66" s="119" t="s">
        <v>70</v>
      </c>
      <c r="K66" s="114">
        <v>45</v>
      </c>
      <c r="L66" s="114"/>
      <c r="M66" s="118">
        <f>IF(ISBLANK(MyTransactions[[#This Row],[Withdrawal]]),M65+MyTransactions[[#This Row],[Deposit]],M65-MyTransactions[[#This Row],[Withdrawal]])</f>
        <v>5806.4499999999989</v>
      </c>
      <c r="N66" s="114" t="s">
        <v>101</v>
      </c>
      <c r="O66" s="115"/>
      <c r="P66" s="114"/>
      <c r="Q66" s="114"/>
    </row>
    <row r="67" spans="7:17" s="70" customFormat="1" ht="13.8" x14ac:dyDescent="0.3">
      <c r="G67" s="119">
        <v>3054</v>
      </c>
      <c r="H67" s="120">
        <v>41465</v>
      </c>
      <c r="I67" s="119" t="s">
        <v>123</v>
      </c>
      <c r="J67" s="119" t="s">
        <v>68</v>
      </c>
      <c r="K67" s="114">
        <v>129</v>
      </c>
      <c r="L67" s="114"/>
      <c r="M67" s="118">
        <f>IF(ISBLANK(MyTransactions[[#This Row],[Withdrawal]]),M66+MyTransactions[[#This Row],[Deposit]],M66-MyTransactions[[#This Row],[Withdrawal]])</f>
        <v>5677.4499999999989</v>
      </c>
      <c r="N67" s="114" t="s">
        <v>101</v>
      </c>
      <c r="O67" s="115"/>
      <c r="P67" s="114"/>
      <c r="Q67" s="114"/>
    </row>
    <row r="68" spans="7:17" s="70" customFormat="1" ht="13.8" x14ac:dyDescent="0.3">
      <c r="G68" s="119">
        <v>3055</v>
      </c>
      <c r="H68" s="120">
        <v>41483</v>
      </c>
      <c r="I68" s="119" t="s">
        <v>79</v>
      </c>
      <c r="J68" s="119" t="s">
        <v>44</v>
      </c>
      <c r="K68" s="114">
        <v>27.2</v>
      </c>
      <c r="L68" s="114"/>
      <c r="M68" s="118">
        <f>IF(ISBLANK(MyTransactions[[#This Row],[Withdrawal]]),M67+MyTransactions[[#This Row],[Deposit]],M67-MyTransactions[[#This Row],[Withdrawal]])</f>
        <v>5650.2499999999991</v>
      </c>
      <c r="N68" s="114" t="s">
        <v>101</v>
      </c>
      <c r="O68" s="115">
        <v>41520</v>
      </c>
      <c r="P68" s="114"/>
      <c r="Q68" s="114"/>
    </row>
    <row r="69" spans="7:17" s="70" customFormat="1" ht="13.8" x14ac:dyDescent="0.3">
      <c r="G69" s="119">
        <v>3056</v>
      </c>
      <c r="H69" s="120">
        <v>41483</v>
      </c>
      <c r="I69" s="119" t="s">
        <v>127</v>
      </c>
      <c r="J69" s="119" t="s">
        <v>71</v>
      </c>
      <c r="K69" s="114">
        <v>21.36</v>
      </c>
      <c r="L69" s="114"/>
      <c r="M69" s="118">
        <f>IF(ISBLANK(MyTransactions[[#This Row],[Withdrawal]]),M68+MyTransactions[[#This Row],[Deposit]],M68-MyTransactions[[#This Row],[Withdrawal]])</f>
        <v>5628.8899999999994</v>
      </c>
      <c r="N69" s="114" t="s">
        <v>101</v>
      </c>
      <c r="O69" s="115"/>
      <c r="P69" s="114"/>
      <c r="Q69" s="114"/>
    </row>
    <row r="70" spans="7:17" s="70" customFormat="1" ht="13.8" x14ac:dyDescent="0.3">
      <c r="G70" s="119">
        <v>3058</v>
      </c>
      <c r="H70" s="120">
        <v>41483</v>
      </c>
      <c r="I70" s="119" t="s">
        <v>87</v>
      </c>
      <c r="J70" s="119"/>
      <c r="K70" s="114"/>
      <c r="L70" s="114"/>
      <c r="M70" s="118">
        <f>IF(ISBLANK(MyTransactions[[#This Row],[Withdrawal]]),M69+MyTransactions[[#This Row],[Deposit]],M69-MyTransactions[[#This Row],[Withdrawal]])</f>
        <v>5628.8899999999994</v>
      </c>
      <c r="N70" s="114" t="s">
        <v>101</v>
      </c>
      <c r="O70" s="115"/>
      <c r="P70" s="114"/>
      <c r="Q70" s="114"/>
    </row>
    <row r="71" spans="7:17" s="70" customFormat="1" ht="13.8" x14ac:dyDescent="0.3">
      <c r="G71" s="119"/>
      <c r="H71" s="120">
        <v>41486</v>
      </c>
      <c r="I71" s="119" t="s">
        <v>90</v>
      </c>
      <c r="J71" s="119" t="s">
        <v>91</v>
      </c>
      <c r="K71" s="114"/>
      <c r="L71" s="114">
        <v>0.4</v>
      </c>
      <c r="M71" s="118">
        <f>IF(ISBLANK(MyTransactions[[#This Row],[Withdrawal]]),M70+MyTransactions[[#This Row],[Deposit]],M70-MyTransactions[[#This Row],[Withdrawal]])</f>
        <v>5629.2899999999991</v>
      </c>
      <c r="N71" s="114" t="s">
        <v>101</v>
      </c>
      <c r="O71" s="115"/>
      <c r="P71" s="114"/>
      <c r="Q71" s="114"/>
    </row>
    <row r="72" spans="7:17" s="70" customFormat="1" ht="13.8" x14ac:dyDescent="0.3">
      <c r="G72" s="119"/>
      <c r="H72" s="120">
        <v>41488</v>
      </c>
      <c r="I72" s="119" t="s">
        <v>125</v>
      </c>
      <c r="J72" s="119" t="s">
        <v>61</v>
      </c>
      <c r="K72" s="114"/>
      <c r="L72" s="114">
        <v>755</v>
      </c>
      <c r="M72" s="118">
        <f>IF(ISBLANK(MyTransactions[[#This Row],[Withdrawal]]),M71+MyTransactions[[#This Row],[Deposit]],M71-MyTransactions[[#This Row],[Withdrawal]])</f>
        <v>6384.2899999999991</v>
      </c>
      <c r="N72" s="114" t="s">
        <v>101</v>
      </c>
      <c r="O72" s="115"/>
      <c r="P72" s="114"/>
      <c r="Q72" s="114"/>
    </row>
    <row r="73" spans="7:17" s="70" customFormat="1" ht="13.8" x14ac:dyDescent="0.3">
      <c r="G73" s="119"/>
      <c r="H73" s="120">
        <v>41488</v>
      </c>
      <c r="I73" s="119" t="s">
        <v>126</v>
      </c>
      <c r="J73" s="119" t="s">
        <v>60</v>
      </c>
      <c r="K73" s="114"/>
      <c r="L73" s="114">
        <v>20</v>
      </c>
      <c r="M73" s="118">
        <f>IF(ISBLANK(MyTransactions[[#This Row],[Withdrawal]]),M72+MyTransactions[[#This Row],[Deposit]],M72-MyTransactions[[#This Row],[Withdrawal]])</f>
        <v>6404.2899999999991</v>
      </c>
      <c r="N73" s="114" t="s">
        <v>101</v>
      </c>
      <c r="O73" s="115"/>
      <c r="P73" s="114"/>
      <c r="Q73" s="114"/>
    </row>
    <row r="74" spans="7:17" s="70" customFormat="1" ht="13.8" x14ac:dyDescent="0.3">
      <c r="G74" s="119">
        <v>3057</v>
      </c>
      <c r="H74" s="120">
        <v>41489</v>
      </c>
      <c r="I74" s="119" t="s">
        <v>92</v>
      </c>
      <c r="J74" s="119" t="s">
        <v>43</v>
      </c>
      <c r="K74" s="114">
        <v>50</v>
      </c>
      <c r="L74" s="114"/>
      <c r="M74" s="118">
        <f>IF(ISBLANK(MyTransactions[[#This Row],[Withdrawal]]),M73+MyTransactions[[#This Row],[Deposit]],M73-MyTransactions[[#This Row],[Withdrawal]])</f>
        <v>6354.2899999999991</v>
      </c>
      <c r="N74" s="114" t="s">
        <v>101</v>
      </c>
      <c r="O74" s="115"/>
      <c r="P74" s="114"/>
      <c r="Q74" s="114"/>
    </row>
    <row r="75" spans="7:17" s="70" customFormat="1" ht="13.8" x14ac:dyDescent="0.3">
      <c r="G75" s="119">
        <v>3059</v>
      </c>
      <c r="H75" s="120">
        <v>41489</v>
      </c>
      <c r="I75" s="119" t="s">
        <v>127</v>
      </c>
      <c r="J75" s="119" t="s">
        <v>67</v>
      </c>
      <c r="K75" s="114">
        <v>500</v>
      </c>
      <c r="L75" s="114"/>
      <c r="M75" s="118">
        <f>IF(ISBLANK(MyTransactions[[#This Row],[Withdrawal]]),M74+MyTransactions[[#This Row],[Deposit]],M74-MyTransactions[[#This Row],[Withdrawal]])</f>
        <v>5854.2899999999991</v>
      </c>
      <c r="N75" s="114" t="s">
        <v>101</v>
      </c>
      <c r="O75" s="115"/>
      <c r="P75" s="114"/>
      <c r="Q75" s="114"/>
    </row>
    <row r="76" spans="7:17" s="70" customFormat="1" ht="13.8" x14ac:dyDescent="0.3">
      <c r="G76" s="119">
        <v>3060</v>
      </c>
      <c r="H76" s="120">
        <v>41489</v>
      </c>
      <c r="I76" s="119" t="s">
        <v>128</v>
      </c>
      <c r="J76" s="119" t="s">
        <v>67</v>
      </c>
      <c r="K76" s="114">
        <v>100</v>
      </c>
      <c r="L76" s="114"/>
      <c r="M76" s="118">
        <f>IF(ISBLANK(MyTransactions[[#This Row],[Withdrawal]]),M75+MyTransactions[[#This Row],[Deposit]],M75-MyTransactions[[#This Row],[Withdrawal]])</f>
        <v>5754.2899999999991</v>
      </c>
      <c r="N76" s="114" t="s">
        <v>101</v>
      </c>
      <c r="O76" s="115"/>
      <c r="P76" s="114"/>
      <c r="Q76" s="114"/>
    </row>
    <row r="77" spans="7:17" s="70" customFormat="1" ht="13.8" x14ac:dyDescent="0.3">
      <c r="G77" s="119">
        <v>3060</v>
      </c>
      <c r="H77" s="120">
        <v>41489</v>
      </c>
      <c r="I77" s="119" t="s">
        <v>128</v>
      </c>
      <c r="J77" s="119" t="s">
        <v>70</v>
      </c>
      <c r="K77" s="114">
        <v>100</v>
      </c>
      <c r="L77" s="114"/>
      <c r="M77" s="118">
        <f>IF(ISBLANK(MyTransactions[[#This Row],[Withdrawal]]),M76+MyTransactions[[#This Row],[Deposit]],M76-MyTransactions[[#This Row],[Withdrawal]])</f>
        <v>5654.2899999999991</v>
      </c>
      <c r="N77" s="114" t="s">
        <v>101</v>
      </c>
      <c r="O77" s="115"/>
      <c r="P77" s="114"/>
      <c r="Q77" s="114"/>
    </row>
    <row r="78" spans="7:17" s="70" customFormat="1" ht="13.8" x14ac:dyDescent="0.3">
      <c r="G78" s="119">
        <v>3061</v>
      </c>
      <c r="H78" s="120">
        <v>41489</v>
      </c>
      <c r="I78" s="119" t="s">
        <v>129</v>
      </c>
      <c r="J78" s="119" t="s">
        <v>47</v>
      </c>
      <c r="K78" s="114">
        <v>21.37</v>
      </c>
      <c r="L78" s="114"/>
      <c r="M78" s="118">
        <f>IF(ISBLANK(MyTransactions[[#This Row],[Withdrawal]]),M77+MyTransactions[[#This Row],[Deposit]],M77-MyTransactions[[#This Row],[Withdrawal]])</f>
        <v>5632.9199999999992</v>
      </c>
      <c r="N78" s="114" t="s">
        <v>101</v>
      </c>
      <c r="O78" s="115"/>
      <c r="P78" s="114"/>
      <c r="Q78" s="114"/>
    </row>
    <row r="79" spans="7:17" s="70" customFormat="1" ht="13.8" x14ac:dyDescent="0.3">
      <c r="G79" s="119">
        <v>3062</v>
      </c>
      <c r="H79" s="120">
        <v>41489</v>
      </c>
      <c r="I79" s="119" t="s">
        <v>130</v>
      </c>
      <c r="J79" s="119" t="s">
        <v>74</v>
      </c>
      <c r="K79" s="114">
        <v>5.34</v>
      </c>
      <c r="L79" s="114"/>
      <c r="M79" s="118">
        <f>IF(ISBLANK(MyTransactions[[#This Row],[Withdrawal]]),M78+MyTransactions[[#This Row],[Deposit]],M78-MyTransactions[[#This Row],[Withdrawal]])</f>
        <v>5627.579999999999</v>
      </c>
      <c r="N79" s="114" t="s">
        <v>101</v>
      </c>
      <c r="O79" s="115"/>
      <c r="P79" s="114"/>
      <c r="Q79" s="114"/>
    </row>
    <row r="80" spans="7:17" s="70" customFormat="1" ht="13.8" x14ac:dyDescent="0.3">
      <c r="G80" s="119">
        <v>3062</v>
      </c>
      <c r="H80" s="120">
        <v>41489</v>
      </c>
      <c r="I80" s="119" t="s">
        <v>130</v>
      </c>
      <c r="J80" s="119" t="s">
        <v>39</v>
      </c>
      <c r="K80" s="114">
        <v>32.06</v>
      </c>
      <c r="L80" s="114"/>
      <c r="M80" s="118">
        <f>IF(ISBLANK(MyTransactions[[#This Row],[Withdrawal]]),M79+MyTransactions[[#This Row],[Deposit]],M79-MyTransactions[[#This Row],[Withdrawal]])</f>
        <v>5595.5199999999986</v>
      </c>
      <c r="N80" s="114" t="s">
        <v>101</v>
      </c>
      <c r="O80" s="115"/>
      <c r="P80" s="114"/>
      <c r="Q80" s="114"/>
    </row>
    <row r="81" spans="7:17" s="70" customFormat="1" ht="13.8" x14ac:dyDescent="0.3">
      <c r="G81" s="119">
        <v>3063</v>
      </c>
      <c r="H81" s="120">
        <v>41489</v>
      </c>
      <c r="I81" s="119" t="s">
        <v>131</v>
      </c>
      <c r="J81" s="119" t="s">
        <v>64</v>
      </c>
      <c r="K81" s="114">
        <v>50</v>
      </c>
      <c r="L81" s="114"/>
      <c r="M81" s="118">
        <f>IF(ISBLANK(MyTransactions[[#This Row],[Withdrawal]]),M80+MyTransactions[[#This Row],[Deposit]],M80-MyTransactions[[#This Row],[Withdrawal]])</f>
        <v>5545.5199999999986</v>
      </c>
      <c r="N81" s="114" t="s">
        <v>101</v>
      </c>
      <c r="O81" s="115"/>
      <c r="P81" s="114"/>
      <c r="Q81" s="114"/>
    </row>
    <row r="82" spans="7:17" s="70" customFormat="1" ht="13.8" x14ac:dyDescent="0.3">
      <c r="G82" s="119">
        <v>3064</v>
      </c>
      <c r="H82" s="120">
        <v>41489</v>
      </c>
      <c r="I82" s="119" t="s">
        <v>84</v>
      </c>
      <c r="J82" s="119" t="s">
        <v>49</v>
      </c>
      <c r="K82" s="114">
        <v>27.73</v>
      </c>
      <c r="L82" s="114"/>
      <c r="M82" s="118">
        <f>IF(ISBLANK(MyTransactions[[#This Row],[Withdrawal]]),M81+MyTransactions[[#This Row],[Deposit]],M81-MyTransactions[[#This Row],[Withdrawal]])</f>
        <v>5517.7899999999991</v>
      </c>
      <c r="N82" s="114" t="s">
        <v>101</v>
      </c>
      <c r="O82" s="115"/>
      <c r="P82" s="114"/>
      <c r="Q82" s="114"/>
    </row>
    <row r="83" spans="7:17" s="70" customFormat="1" ht="13.8" x14ac:dyDescent="0.3">
      <c r="G83" s="119">
        <v>3065</v>
      </c>
      <c r="H83" s="120">
        <v>41489</v>
      </c>
      <c r="I83" s="119" t="s">
        <v>132</v>
      </c>
      <c r="J83" s="119" t="s">
        <v>73</v>
      </c>
      <c r="K83" s="114">
        <v>50</v>
      </c>
      <c r="L83" s="114"/>
      <c r="M83" s="118">
        <f>IF(ISBLANK(MyTransactions[[#This Row],[Withdrawal]]),M82+MyTransactions[[#This Row],[Deposit]],M82-MyTransactions[[#This Row],[Withdrawal]])</f>
        <v>5467.7899999999991</v>
      </c>
      <c r="N83" s="114" t="s">
        <v>101</v>
      </c>
      <c r="O83" s="115"/>
      <c r="P83" s="114"/>
      <c r="Q83" s="114"/>
    </row>
    <row r="84" spans="7:17" s="70" customFormat="1" ht="13.8" x14ac:dyDescent="0.3">
      <c r="G84" s="119">
        <v>3065</v>
      </c>
      <c r="H84" s="120">
        <v>41489</v>
      </c>
      <c r="I84" s="119" t="s">
        <v>128</v>
      </c>
      <c r="J84" s="119" t="s">
        <v>74</v>
      </c>
      <c r="K84" s="114">
        <v>40</v>
      </c>
      <c r="L84" s="114"/>
      <c r="M84" s="118">
        <f>IF(ISBLANK(MyTransactions[[#This Row],[Withdrawal]]),M83+MyTransactions[[#This Row],[Deposit]],M83-MyTransactions[[#This Row],[Withdrawal]])</f>
        <v>5427.7899999999991</v>
      </c>
      <c r="N84" s="114" t="s">
        <v>101</v>
      </c>
      <c r="O84" s="115"/>
      <c r="P84" s="114"/>
      <c r="Q84" s="114"/>
    </row>
    <row r="85" spans="7:17" s="70" customFormat="1" ht="13.8" x14ac:dyDescent="0.3">
      <c r="G85" s="119">
        <v>3066</v>
      </c>
      <c r="H85" s="120">
        <v>41489</v>
      </c>
      <c r="I85" s="119" t="s">
        <v>133</v>
      </c>
      <c r="J85" s="119" t="s">
        <v>63</v>
      </c>
      <c r="K85" s="114">
        <v>100</v>
      </c>
      <c r="L85" s="114"/>
      <c r="M85" s="118">
        <f>IF(ISBLANK(MyTransactions[[#This Row],[Withdrawal]]),M84+MyTransactions[[#This Row],[Deposit]],M84-MyTransactions[[#This Row],[Withdrawal]])</f>
        <v>5327.7899999999991</v>
      </c>
      <c r="N85" s="114" t="s">
        <v>101</v>
      </c>
      <c r="O85" s="115"/>
      <c r="P85" s="114"/>
      <c r="Q85" s="114"/>
    </row>
    <row r="86" spans="7:17" s="70" customFormat="1" ht="13.8" x14ac:dyDescent="0.3">
      <c r="G86" s="119">
        <v>3067</v>
      </c>
      <c r="H86" s="120">
        <v>41489</v>
      </c>
      <c r="I86" s="119" t="s">
        <v>134</v>
      </c>
      <c r="J86" s="119" t="s">
        <v>66</v>
      </c>
      <c r="K86" s="114">
        <v>963.39</v>
      </c>
      <c r="L86" s="114"/>
      <c r="M86" s="118">
        <f>IF(ISBLANK(MyTransactions[[#This Row],[Withdrawal]]),M85+MyTransactions[[#This Row],[Deposit]],M85-MyTransactions[[#This Row],[Withdrawal]])</f>
        <v>4364.3999999999987</v>
      </c>
      <c r="N86" s="114" t="s">
        <v>101</v>
      </c>
      <c r="O86" s="115">
        <v>41523</v>
      </c>
      <c r="P86" s="114"/>
      <c r="Q86" s="114"/>
    </row>
    <row r="87" spans="7:17" s="70" customFormat="1" ht="13.8" x14ac:dyDescent="0.3">
      <c r="G87" s="119">
        <v>3068</v>
      </c>
      <c r="H87" s="120">
        <v>41489</v>
      </c>
      <c r="I87" s="119" t="s">
        <v>127</v>
      </c>
      <c r="J87" s="119" t="s">
        <v>51</v>
      </c>
      <c r="K87" s="114">
        <v>80</v>
      </c>
      <c r="L87" s="114"/>
      <c r="M87" s="118">
        <f>IF(ISBLANK(MyTransactions[[#This Row],[Withdrawal]]),M86+MyTransactions[[#This Row],[Deposit]],M86-MyTransactions[[#This Row],[Withdrawal]])</f>
        <v>4284.3999999999987</v>
      </c>
      <c r="N87" s="114" t="s">
        <v>101</v>
      </c>
      <c r="O87" s="115"/>
      <c r="P87" s="114"/>
      <c r="Q87" s="114"/>
    </row>
    <row r="88" spans="7:17" s="70" customFormat="1" ht="13.8" x14ac:dyDescent="0.3">
      <c r="G88" s="119"/>
      <c r="H88" s="120">
        <v>41489</v>
      </c>
      <c r="I88" s="119" t="s">
        <v>11</v>
      </c>
      <c r="J88" s="119" t="s">
        <v>32</v>
      </c>
      <c r="K88" s="114"/>
      <c r="L88" s="114">
        <v>90.68</v>
      </c>
      <c r="M88" s="118">
        <f>IF(ISBLANK(MyTransactions[[#This Row],[Withdrawal]]),M87+MyTransactions[[#This Row],[Deposit]],M87-MyTransactions[[#This Row],[Withdrawal]])</f>
        <v>4375.079999999999</v>
      </c>
      <c r="N88" s="114" t="s">
        <v>101</v>
      </c>
      <c r="O88" s="115"/>
      <c r="P88" s="114"/>
      <c r="Q88" s="114"/>
    </row>
    <row r="89" spans="7:17" s="70" customFormat="1" ht="13.8" x14ac:dyDescent="0.3">
      <c r="G89" s="119"/>
      <c r="H89" s="120">
        <v>41489</v>
      </c>
      <c r="I89" s="119" t="s">
        <v>11</v>
      </c>
      <c r="J89" s="119" t="s">
        <v>61</v>
      </c>
      <c r="K89" s="114"/>
      <c r="L89" s="114">
        <v>380</v>
      </c>
      <c r="M89" s="118">
        <f>IF(ISBLANK(MyTransactions[[#This Row],[Withdrawal]]),M88+MyTransactions[[#This Row],[Deposit]],M88-MyTransactions[[#This Row],[Withdrawal]])</f>
        <v>4755.079999999999</v>
      </c>
      <c r="N89" s="114" t="s">
        <v>101</v>
      </c>
      <c r="O89" s="115"/>
      <c r="P89" s="114"/>
      <c r="Q89" s="114"/>
    </row>
    <row r="90" spans="7:17" s="70" customFormat="1" ht="13.8" x14ac:dyDescent="0.3">
      <c r="G90" s="119">
        <v>3069</v>
      </c>
      <c r="H90" s="120">
        <v>41493</v>
      </c>
      <c r="I90" s="119" t="s">
        <v>94</v>
      </c>
      <c r="J90" s="119" t="s">
        <v>67</v>
      </c>
      <c r="K90" s="114">
        <v>1156.26</v>
      </c>
      <c r="L90" s="114"/>
      <c r="M90" s="118">
        <f>IF(ISBLANK(MyTransactions[[#This Row],[Withdrawal]]),M89+MyTransactions[[#This Row],[Deposit]],M89-MyTransactions[[#This Row],[Withdrawal]])</f>
        <v>3598.8199999999988</v>
      </c>
      <c r="N90" s="114" t="s">
        <v>101</v>
      </c>
      <c r="O90" s="115">
        <v>41522</v>
      </c>
      <c r="P90" s="114"/>
      <c r="Q90" s="114"/>
    </row>
    <row r="91" spans="7:17" s="70" customFormat="1" ht="13.8" x14ac:dyDescent="0.3">
      <c r="G91" s="119"/>
      <c r="H91" s="120">
        <v>41496</v>
      </c>
      <c r="I91" s="119" t="s">
        <v>11</v>
      </c>
      <c r="J91" s="119" t="s">
        <v>61</v>
      </c>
      <c r="K91" s="114"/>
      <c r="L91" s="114">
        <v>140</v>
      </c>
      <c r="M91" s="118">
        <f>IF(ISBLANK(MyTransactions[[#This Row],[Withdrawal]]),M90+MyTransactions[[#This Row],[Deposit]],M90-MyTransactions[[#This Row],[Withdrawal]])</f>
        <v>3738.8199999999988</v>
      </c>
      <c r="N91" s="114" t="s">
        <v>101</v>
      </c>
      <c r="O91" s="115"/>
      <c r="P91" s="114"/>
      <c r="Q91" s="114"/>
    </row>
    <row r="92" spans="7:17" s="70" customFormat="1" ht="13.8" x14ac:dyDescent="0.3">
      <c r="G92" s="119"/>
      <c r="H92" s="120">
        <v>41496</v>
      </c>
      <c r="I92" s="119" t="s">
        <v>11</v>
      </c>
      <c r="J92" s="119" t="s">
        <v>95</v>
      </c>
      <c r="K92" s="114"/>
      <c r="L92" s="114">
        <v>2899.05</v>
      </c>
      <c r="M92" s="118">
        <f>IF(ISBLANK(MyTransactions[[#This Row],[Withdrawal]]),M91+MyTransactions[[#This Row],[Deposit]],M91-MyTransactions[[#This Row],[Withdrawal]])</f>
        <v>6637.869999999999</v>
      </c>
      <c r="N92" s="114" t="s">
        <v>101</v>
      </c>
      <c r="O92" s="115"/>
      <c r="P92" s="114"/>
      <c r="Q92" s="114"/>
    </row>
    <row r="93" spans="7:17" s="70" customFormat="1" ht="13.8" x14ac:dyDescent="0.3">
      <c r="G93" s="119"/>
      <c r="H93" s="120">
        <v>41498</v>
      </c>
      <c r="I93" s="119" t="s">
        <v>11</v>
      </c>
      <c r="J93" s="119" t="s">
        <v>61</v>
      </c>
      <c r="K93" s="114"/>
      <c r="L93" s="114">
        <v>95</v>
      </c>
      <c r="M93" s="118">
        <f>IF(ISBLANK(MyTransactions[[#This Row],[Withdrawal]]),M92+MyTransactions[[#This Row],[Deposit]],M92-MyTransactions[[#This Row],[Withdrawal]])</f>
        <v>6732.869999999999</v>
      </c>
      <c r="N93" s="114" t="s">
        <v>101</v>
      </c>
      <c r="O93" s="115"/>
      <c r="P93" s="114"/>
      <c r="Q93" s="114"/>
    </row>
    <row r="94" spans="7:17" s="70" customFormat="1" ht="13.8" x14ac:dyDescent="0.3">
      <c r="G94" s="119"/>
      <c r="H94" s="120">
        <v>41512</v>
      </c>
      <c r="I94" s="119" t="s">
        <v>155</v>
      </c>
      <c r="J94" s="119" t="s">
        <v>60</v>
      </c>
      <c r="K94" s="114"/>
      <c r="L94" s="114">
        <v>10.49</v>
      </c>
      <c r="M94" s="118">
        <f>IF(ISBLANK(MyTransactions[[#This Row],[Withdrawal]]),M93+MyTransactions[[#This Row],[Deposit]],M93-MyTransactions[[#This Row],[Withdrawal]])</f>
        <v>6743.3599999999988</v>
      </c>
      <c r="N94" s="114" t="s">
        <v>101</v>
      </c>
      <c r="O94" s="115"/>
      <c r="P94" s="114"/>
      <c r="Q94" s="114"/>
    </row>
    <row r="95" spans="7:17" s="70" customFormat="1" ht="13.8" x14ac:dyDescent="0.3">
      <c r="G95" s="119"/>
      <c r="H95" s="120">
        <v>41516</v>
      </c>
      <c r="I95" s="119" t="s">
        <v>90</v>
      </c>
      <c r="J95" s="119" t="s">
        <v>91</v>
      </c>
      <c r="K95" s="114"/>
      <c r="L95" s="114">
        <v>0.31</v>
      </c>
      <c r="M95" s="118">
        <f>IF(ISBLANK(MyTransactions[[#This Row],[Withdrawal]]),M94+MyTransactions[[#This Row],[Deposit]],M94-MyTransactions[[#This Row],[Withdrawal]])</f>
        <v>6743.6699999999992</v>
      </c>
      <c r="N95" s="114" t="s">
        <v>101</v>
      </c>
      <c r="O95" s="115"/>
      <c r="P95" s="114"/>
      <c r="Q95" s="114"/>
    </row>
    <row r="96" spans="7:17" s="70" customFormat="1" ht="13.8" x14ac:dyDescent="0.3">
      <c r="G96" s="119">
        <v>3070</v>
      </c>
      <c r="H96" s="120">
        <v>41522</v>
      </c>
      <c r="I96" s="119" t="s">
        <v>135</v>
      </c>
      <c r="J96" s="119" t="s">
        <v>66</v>
      </c>
      <c r="K96" s="114">
        <v>158.76</v>
      </c>
      <c r="L96" s="114"/>
      <c r="M96" s="118">
        <f>IF(ISBLANK(MyTransactions[[#This Row],[Withdrawal]]),M95+MyTransactions[[#This Row],[Deposit]],M95-MyTransactions[[#This Row],[Withdrawal]])</f>
        <v>6584.9099999999989</v>
      </c>
      <c r="N96" s="114" t="s">
        <v>101</v>
      </c>
      <c r="O96" s="115">
        <v>41523</v>
      </c>
      <c r="P96" s="114"/>
      <c r="Q96" s="114"/>
    </row>
    <row r="97" spans="7:18" s="70" customFormat="1" ht="13.8" x14ac:dyDescent="0.3">
      <c r="G97" s="119"/>
      <c r="H97" s="120">
        <v>41523</v>
      </c>
      <c r="I97" s="119" t="s">
        <v>11</v>
      </c>
      <c r="J97" s="119" t="s">
        <v>60</v>
      </c>
      <c r="K97" s="114"/>
      <c r="L97" s="122">
        <v>981</v>
      </c>
      <c r="M97" s="118">
        <f>IF(ISBLANK(MyTransactions[[#This Row],[Withdrawal]]),M96+MyTransactions[[#This Row],[Deposit]],M96-MyTransactions[[#This Row],[Withdrawal]])</f>
        <v>7565.9099999999989</v>
      </c>
      <c r="N97" s="114" t="s">
        <v>101</v>
      </c>
      <c r="O97" s="115">
        <v>41527</v>
      </c>
      <c r="P97" s="114"/>
      <c r="Q97" s="114"/>
      <c r="R97" s="123">
        <f>SUM(L97:L107)</f>
        <v>10474.25</v>
      </c>
    </row>
    <row r="98" spans="7:18" s="70" customFormat="1" ht="13.8" x14ac:dyDescent="0.3">
      <c r="G98" s="119"/>
      <c r="H98" s="120">
        <v>41523</v>
      </c>
      <c r="I98" s="119" t="s">
        <v>11</v>
      </c>
      <c r="J98" s="119" t="s">
        <v>61</v>
      </c>
      <c r="K98" s="114"/>
      <c r="L98" s="122">
        <v>2271</v>
      </c>
      <c r="M98" s="118">
        <f>IF(ISBLANK(MyTransactions[[#This Row],[Withdrawal]]),M97+MyTransactions[[#This Row],[Deposit]],M97-MyTransactions[[#This Row],[Withdrawal]])</f>
        <v>9836.91</v>
      </c>
      <c r="N98" s="114" t="s">
        <v>101</v>
      </c>
      <c r="O98" s="115">
        <v>41527</v>
      </c>
      <c r="P98" s="114"/>
      <c r="Q98" s="114"/>
    </row>
    <row r="99" spans="7:18" s="70" customFormat="1" ht="13.8" x14ac:dyDescent="0.3">
      <c r="G99" s="119"/>
      <c r="H99" s="120">
        <v>41523</v>
      </c>
      <c r="I99" s="119" t="s">
        <v>11</v>
      </c>
      <c r="J99" s="119" t="s">
        <v>61</v>
      </c>
      <c r="K99" s="114"/>
      <c r="L99" s="122">
        <v>898</v>
      </c>
      <c r="M99" s="118">
        <f>IF(ISBLANK(MyTransactions[[#This Row],[Withdrawal]]),M98+MyTransactions[[#This Row],[Deposit]],M98-MyTransactions[[#This Row],[Withdrawal]])</f>
        <v>10734.91</v>
      </c>
      <c r="N99" s="114" t="s">
        <v>101</v>
      </c>
      <c r="O99" s="115">
        <v>41527</v>
      </c>
      <c r="P99" s="114"/>
      <c r="Q99" s="114"/>
    </row>
    <row r="100" spans="7:18" s="70" customFormat="1" ht="13.8" x14ac:dyDescent="0.3">
      <c r="G100" s="119"/>
      <c r="H100" s="120">
        <v>41523</v>
      </c>
      <c r="I100" s="119" t="s">
        <v>11</v>
      </c>
      <c r="J100" s="119" t="s">
        <v>60</v>
      </c>
      <c r="K100" s="114"/>
      <c r="L100" s="122">
        <v>710</v>
      </c>
      <c r="M100" s="118">
        <f>IF(ISBLANK(MyTransactions[[#This Row],[Withdrawal]]),M99+MyTransactions[[#This Row],[Deposit]],M99-MyTransactions[[#This Row],[Withdrawal]])</f>
        <v>11444.91</v>
      </c>
      <c r="N100" s="114" t="s">
        <v>101</v>
      </c>
      <c r="O100" s="115">
        <v>41527</v>
      </c>
      <c r="P100" s="114"/>
      <c r="Q100" s="114"/>
    </row>
    <row r="101" spans="7:18" s="70" customFormat="1" ht="13.8" x14ac:dyDescent="0.3">
      <c r="G101" s="119"/>
      <c r="H101" s="120">
        <v>41523</v>
      </c>
      <c r="I101" s="119" t="s">
        <v>11</v>
      </c>
      <c r="J101" s="119" t="s">
        <v>61</v>
      </c>
      <c r="K101" s="114"/>
      <c r="L101" s="122">
        <v>2635</v>
      </c>
      <c r="M101" s="118">
        <f>IF(ISBLANK(MyTransactions[[#This Row],[Withdrawal]]),M100+MyTransactions[[#This Row],[Deposit]],M100-MyTransactions[[#This Row],[Withdrawal]])</f>
        <v>14079.91</v>
      </c>
      <c r="N101" s="114" t="s">
        <v>101</v>
      </c>
      <c r="O101" s="115">
        <v>41527</v>
      </c>
      <c r="P101" s="114"/>
      <c r="Q101" s="114"/>
    </row>
    <row r="102" spans="7:18" s="70" customFormat="1" ht="13.8" x14ac:dyDescent="0.3">
      <c r="G102" s="119"/>
      <c r="H102" s="120">
        <v>41524</v>
      </c>
      <c r="I102" s="119" t="s">
        <v>11</v>
      </c>
      <c r="J102" s="119" t="s">
        <v>60</v>
      </c>
      <c r="K102" s="114"/>
      <c r="L102" s="122">
        <v>675</v>
      </c>
      <c r="M102" s="118">
        <f>IF(ISBLANK(MyTransactions[[#This Row],[Withdrawal]]),M101+MyTransactions[[#This Row],[Deposit]],M101-MyTransactions[[#This Row],[Withdrawal]])</f>
        <v>14754.91</v>
      </c>
      <c r="N102" s="114" t="s">
        <v>101</v>
      </c>
      <c r="O102" s="115">
        <v>41527</v>
      </c>
      <c r="P102" s="114"/>
      <c r="Q102" s="114"/>
    </row>
    <row r="103" spans="7:18" s="70" customFormat="1" ht="13.8" x14ac:dyDescent="0.3">
      <c r="G103" s="119"/>
      <c r="H103" s="120">
        <v>41524</v>
      </c>
      <c r="I103" s="119" t="s">
        <v>11</v>
      </c>
      <c r="J103" s="119" t="s">
        <v>61</v>
      </c>
      <c r="K103" s="114"/>
      <c r="L103" s="122">
        <v>719.5</v>
      </c>
      <c r="M103" s="118">
        <f>IF(ISBLANK(MyTransactions[[#This Row],[Withdrawal]]),M102+MyTransactions[[#This Row],[Deposit]],M102-MyTransactions[[#This Row],[Withdrawal]])</f>
        <v>15474.41</v>
      </c>
      <c r="N103" s="114" t="s">
        <v>101</v>
      </c>
      <c r="O103" s="115">
        <v>41527</v>
      </c>
      <c r="P103" s="114"/>
      <c r="Q103" s="114"/>
    </row>
    <row r="104" spans="7:18" s="70" customFormat="1" ht="13.8" x14ac:dyDescent="0.3">
      <c r="G104" s="119"/>
      <c r="H104" s="120">
        <v>41524</v>
      </c>
      <c r="I104" s="119" t="s">
        <v>11</v>
      </c>
      <c r="J104" s="119" t="s">
        <v>61</v>
      </c>
      <c r="K104" s="114"/>
      <c r="L104" s="122">
        <v>210</v>
      </c>
      <c r="M104" s="118">
        <f>IF(ISBLANK(MyTransactions[[#This Row],[Withdrawal]]),M103+MyTransactions[[#This Row],[Deposit]],M103-MyTransactions[[#This Row],[Withdrawal]])</f>
        <v>15684.41</v>
      </c>
      <c r="N104" s="114" t="s">
        <v>101</v>
      </c>
      <c r="O104" s="115">
        <v>41527</v>
      </c>
      <c r="P104" s="114"/>
      <c r="Q104" s="114"/>
    </row>
    <row r="105" spans="7:18" s="70" customFormat="1" ht="13.8" x14ac:dyDescent="0.3">
      <c r="G105" s="119"/>
      <c r="H105" s="120">
        <v>41524</v>
      </c>
      <c r="I105" s="119" t="s">
        <v>11</v>
      </c>
      <c r="J105" s="119" t="s">
        <v>60</v>
      </c>
      <c r="K105" s="114"/>
      <c r="L105" s="122">
        <v>520</v>
      </c>
      <c r="M105" s="118">
        <f>IF(ISBLANK(MyTransactions[[#This Row],[Withdrawal]]),M104+MyTransactions[[#This Row],[Deposit]],M104-MyTransactions[[#This Row],[Withdrawal]])</f>
        <v>16204.41</v>
      </c>
      <c r="N105" s="114" t="s">
        <v>101</v>
      </c>
      <c r="O105" s="115">
        <v>41527</v>
      </c>
      <c r="P105" s="114"/>
      <c r="Q105" s="114"/>
    </row>
    <row r="106" spans="7:18" s="70" customFormat="1" ht="13.8" x14ac:dyDescent="0.3">
      <c r="G106" s="119"/>
      <c r="H106" s="120">
        <v>41524</v>
      </c>
      <c r="I106" s="119" t="s">
        <v>11</v>
      </c>
      <c r="J106" s="119" t="s">
        <v>60</v>
      </c>
      <c r="K106" s="114"/>
      <c r="L106" s="114">
        <v>484.75</v>
      </c>
      <c r="M106" s="118">
        <f>IF(ISBLANK(MyTransactions[[#This Row],[Withdrawal]]),M105+MyTransactions[[#This Row],[Deposit]],M105-MyTransactions[[#This Row],[Withdrawal]])</f>
        <v>16689.16</v>
      </c>
      <c r="N106" s="114" t="s">
        <v>101</v>
      </c>
      <c r="O106" s="115">
        <v>41527</v>
      </c>
      <c r="P106" s="114">
        <f>520-484.75</f>
        <v>35.25</v>
      </c>
      <c r="Q106" s="114"/>
    </row>
    <row r="107" spans="7:18" s="70" customFormat="1" ht="13.8" x14ac:dyDescent="0.3">
      <c r="G107" s="119"/>
      <c r="H107" s="120">
        <v>41524</v>
      </c>
      <c r="I107" s="119" t="s">
        <v>11</v>
      </c>
      <c r="J107" s="119" t="s">
        <v>60</v>
      </c>
      <c r="K107" s="114"/>
      <c r="L107" s="122">
        <v>370</v>
      </c>
      <c r="M107" s="118">
        <f>IF(ISBLANK(MyTransactions[[#This Row],[Withdrawal]]),M106+MyTransactions[[#This Row],[Deposit]],M106-MyTransactions[[#This Row],[Withdrawal]])</f>
        <v>17059.16</v>
      </c>
      <c r="N107" s="114" t="s">
        <v>101</v>
      </c>
      <c r="O107" s="115">
        <v>41527</v>
      </c>
      <c r="P107" s="114"/>
      <c r="Q107" s="114"/>
    </row>
    <row r="108" spans="7:18" s="70" customFormat="1" ht="13.8" x14ac:dyDescent="0.3">
      <c r="G108" s="119">
        <v>3073</v>
      </c>
      <c r="H108" s="120">
        <v>41525</v>
      </c>
      <c r="I108" s="119" t="s">
        <v>137</v>
      </c>
      <c r="J108" s="119" t="s">
        <v>68</v>
      </c>
      <c r="K108" s="114">
        <v>350</v>
      </c>
      <c r="L108" s="114"/>
      <c r="M108" s="118">
        <f>IF(ISBLANK(MyTransactions[[#This Row],[Withdrawal]]),M107+MyTransactions[[#This Row],[Deposit]],M107-MyTransactions[[#This Row],[Withdrawal]])</f>
        <v>16709.16</v>
      </c>
      <c r="N108" s="114" t="s">
        <v>101</v>
      </c>
      <c r="O108" s="115">
        <v>41529</v>
      </c>
      <c r="P108" s="114"/>
      <c r="Q108" s="114"/>
    </row>
    <row r="109" spans="7:18" s="70" customFormat="1" ht="13.8" x14ac:dyDescent="0.3">
      <c r="G109" s="119">
        <v>3073</v>
      </c>
      <c r="H109" s="120">
        <v>41525</v>
      </c>
      <c r="I109" s="119" t="s">
        <v>137</v>
      </c>
      <c r="J109" s="119" t="s">
        <v>66</v>
      </c>
      <c r="K109" s="114">
        <v>14.96</v>
      </c>
      <c r="L109" s="114"/>
      <c r="M109" s="118">
        <f>IF(ISBLANK(MyTransactions[[#This Row],[Withdrawal]]),M108+MyTransactions[[#This Row],[Deposit]],M108-MyTransactions[[#This Row],[Withdrawal]])</f>
        <v>16694.2</v>
      </c>
      <c r="N109" s="114" t="s">
        <v>101</v>
      </c>
      <c r="O109" s="115">
        <v>41529</v>
      </c>
      <c r="P109" s="114"/>
      <c r="Q109" s="114"/>
    </row>
    <row r="110" spans="7:18" s="70" customFormat="1" ht="13.8" x14ac:dyDescent="0.3">
      <c r="G110" s="119">
        <v>3074</v>
      </c>
      <c r="H110" s="120">
        <v>41525</v>
      </c>
      <c r="I110" s="119" t="s">
        <v>84</v>
      </c>
      <c r="J110" s="119" t="s">
        <v>70</v>
      </c>
      <c r="K110" s="114">
        <v>20.57</v>
      </c>
      <c r="L110" s="114"/>
      <c r="M110" s="118">
        <f>IF(ISBLANK(MyTransactions[[#This Row],[Withdrawal]]),M109+MyTransactions[[#This Row],[Deposit]],M109-MyTransactions[[#This Row],[Withdrawal]])</f>
        <v>16673.63</v>
      </c>
      <c r="N110" s="114" t="s">
        <v>101</v>
      </c>
      <c r="O110" s="115">
        <v>41526</v>
      </c>
      <c r="P110" s="114"/>
      <c r="Q110" s="114"/>
    </row>
    <row r="111" spans="7:18" s="70" customFormat="1" ht="13.8" x14ac:dyDescent="0.3">
      <c r="G111" s="119">
        <v>3075</v>
      </c>
      <c r="H111" s="120">
        <v>41525</v>
      </c>
      <c r="I111" s="119" t="s">
        <v>138</v>
      </c>
      <c r="J111" s="119" t="s">
        <v>69</v>
      </c>
      <c r="K111" s="114">
        <v>4094</v>
      </c>
      <c r="L111" s="114"/>
      <c r="M111" s="118">
        <f>IF(ISBLANK(MyTransactions[[#This Row],[Withdrawal]]),M110+MyTransactions[[#This Row],[Deposit]],M110-MyTransactions[[#This Row],[Withdrawal]])</f>
        <v>12579.630000000001</v>
      </c>
      <c r="N111" s="114" t="s">
        <v>101</v>
      </c>
      <c r="O111" s="115">
        <v>41534</v>
      </c>
      <c r="P111" s="114"/>
      <c r="Q111" s="114"/>
    </row>
    <row r="112" spans="7:18" s="70" customFormat="1" ht="13.8" x14ac:dyDescent="0.3">
      <c r="G112" s="119"/>
      <c r="H112" s="120">
        <v>41525</v>
      </c>
      <c r="I112" s="119" t="s">
        <v>140</v>
      </c>
      <c r="J112" s="119" t="s">
        <v>61</v>
      </c>
      <c r="K112" s="114"/>
      <c r="L112" s="114">
        <v>919.51</v>
      </c>
      <c r="M112" s="118">
        <f>IF(ISBLANK(MyTransactions[[#This Row],[Withdrawal]]),M111+MyTransactions[[#This Row],[Deposit]],M111-MyTransactions[[#This Row],[Withdrawal]])</f>
        <v>13499.140000000001</v>
      </c>
      <c r="N112" s="114" t="s">
        <v>101</v>
      </c>
      <c r="O112" s="115">
        <v>41526</v>
      </c>
      <c r="P112" s="114"/>
      <c r="Q112" s="114"/>
    </row>
    <row r="113" spans="7:18" s="70" customFormat="1" ht="13.8" x14ac:dyDescent="0.3">
      <c r="G113" s="119"/>
      <c r="H113" s="120">
        <v>41525</v>
      </c>
      <c r="I113" s="119" t="s">
        <v>140</v>
      </c>
      <c r="J113" s="119" t="s">
        <v>60</v>
      </c>
      <c r="K113" s="114"/>
      <c r="L113" s="114">
        <v>792.74</v>
      </c>
      <c r="M113" s="118">
        <f>IF(ISBLANK(MyTransactions[[#This Row],[Withdrawal]]),M112+MyTransactions[[#This Row],[Deposit]],M112-MyTransactions[[#This Row],[Withdrawal]])</f>
        <v>14291.880000000001</v>
      </c>
      <c r="N113" s="114" t="s">
        <v>101</v>
      </c>
      <c r="O113" s="115">
        <v>41526</v>
      </c>
      <c r="P113" s="114"/>
      <c r="Q113" s="114"/>
    </row>
    <row r="114" spans="7:18" s="70" customFormat="1" ht="13.8" x14ac:dyDescent="0.3">
      <c r="G114" s="119">
        <v>3071</v>
      </c>
      <c r="H114" s="120">
        <v>41526</v>
      </c>
      <c r="I114" s="119" t="s">
        <v>127</v>
      </c>
      <c r="J114" s="119" t="s">
        <v>67</v>
      </c>
      <c r="K114" s="114">
        <v>31.7</v>
      </c>
      <c r="L114" s="114"/>
      <c r="M114" s="118">
        <f>IF(ISBLANK(MyTransactions[[#This Row],[Withdrawal]]),M113+MyTransactions[[#This Row],[Deposit]],M113-MyTransactions[[#This Row],[Withdrawal]])</f>
        <v>14260.18</v>
      </c>
      <c r="N114" s="114" t="s">
        <v>101</v>
      </c>
      <c r="O114" s="115">
        <v>41530</v>
      </c>
      <c r="P114" s="114"/>
      <c r="Q114" s="114"/>
    </row>
    <row r="115" spans="7:18" s="70" customFormat="1" ht="13.8" x14ac:dyDescent="0.3">
      <c r="G115" s="119">
        <v>3072</v>
      </c>
      <c r="H115" s="120">
        <v>41526</v>
      </c>
      <c r="I115" s="119" t="s">
        <v>136</v>
      </c>
      <c r="J115" s="119" t="s">
        <v>66</v>
      </c>
      <c r="K115" s="114">
        <v>41.48</v>
      </c>
      <c r="L115" s="114"/>
      <c r="M115" s="118">
        <f>IF(ISBLANK(MyTransactions[[#This Row],[Withdrawal]]),M114+MyTransactions[[#This Row],[Deposit]],M114-MyTransactions[[#This Row],[Withdrawal]])</f>
        <v>14218.7</v>
      </c>
      <c r="N115" s="114" t="s">
        <v>101</v>
      </c>
      <c r="O115" s="115">
        <v>41526</v>
      </c>
      <c r="P115" s="114"/>
      <c r="Q115" s="114"/>
    </row>
    <row r="116" spans="7:18" s="70" customFormat="1" ht="13.8" x14ac:dyDescent="0.3">
      <c r="G116" s="119">
        <v>3076</v>
      </c>
      <c r="H116" s="120">
        <v>41526</v>
      </c>
      <c r="I116" s="119" t="s">
        <v>139</v>
      </c>
      <c r="J116" s="119" t="s">
        <v>66</v>
      </c>
      <c r="K116" s="114">
        <v>2112.7199999999998</v>
      </c>
      <c r="L116" s="114"/>
      <c r="M116" s="118">
        <f>IF(ISBLANK(MyTransactions[[#This Row],[Withdrawal]]),M115+MyTransactions[[#This Row],[Deposit]],M115-MyTransactions[[#This Row],[Withdrawal]])</f>
        <v>12105.980000000001</v>
      </c>
      <c r="N116" s="114" t="s">
        <v>101</v>
      </c>
      <c r="O116" s="115">
        <v>41528</v>
      </c>
      <c r="P116" s="114"/>
      <c r="Q116" s="114"/>
    </row>
    <row r="117" spans="7:18" s="70" customFormat="1" ht="13.8" x14ac:dyDescent="0.3">
      <c r="G117" s="119">
        <v>3077</v>
      </c>
      <c r="H117" s="120">
        <v>41546</v>
      </c>
      <c r="I117" s="119" t="s">
        <v>130</v>
      </c>
      <c r="J117" s="119" t="s">
        <v>70</v>
      </c>
      <c r="K117" s="114">
        <v>47.45</v>
      </c>
      <c r="L117" s="114"/>
      <c r="M117" s="118">
        <f>IF(ISBLANK(MyTransactions[[#This Row],[Withdrawal]]),M116+MyTransactions[[#This Row],[Deposit]],M116-MyTransactions[[#This Row],[Withdrawal]])</f>
        <v>12058.53</v>
      </c>
      <c r="N117" s="114" t="s">
        <v>101</v>
      </c>
      <c r="O117" s="115">
        <v>41551</v>
      </c>
      <c r="P117" s="114"/>
      <c r="Q117" s="114"/>
    </row>
    <row r="118" spans="7:18" s="70" customFormat="1" ht="13.8" x14ac:dyDescent="0.3">
      <c r="G118" s="119"/>
      <c r="H118" s="120">
        <v>41547</v>
      </c>
      <c r="I118" s="119" t="s">
        <v>90</v>
      </c>
      <c r="J118" s="119" t="s">
        <v>91</v>
      </c>
      <c r="K118" s="114"/>
      <c r="L118" s="114">
        <v>0.49</v>
      </c>
      <c r="M118" s="118">
        <f>IF(ISBLANK(MyTransactions[[#This Row],[Withdrawal]]),M117+MyTransactions[[#This Row],[Deposit]],M117-MyTransactions[[#This Row],[Withdrawal]])</f>
        <v>12059.02</v>
      </c>
      <c r="N118" s="114" t="s">
        <v>101</v>
      </c>
      <c r="O118" s="115">
        <v>41547</v>
      </c>
      <c r="P118" s="114"/>
      <c r="Q118" s="114"/>
    </row>
    <row r="119" spans="7:18" s="70" customFormat="1" ht="13.8" x14ac:dyDescent="0.3">
      <c r="G119" s="119"/>
      <c r="H119" s="120">
        <v>41549</v>
      </c>
      <c r="I119" s="119" t="s">
        <v>153</v>
      </c>
      <c r="J119" s="119" t="s">
        <v>61</v>
      </c>
      <c r="K119" s="114"/>
      <c r="L119" s="114">
        <v>896.43</v>
      </c>
      <c r="M119" s="118">
        <f>IF(ISBLANK(MyTransactions[[#This Row],[Withdrawal]]),M118+MyTransactions[[#This Row],[Deposit]],M118-MyTransactions[[#This Row],[Withdrawal]])</f>
        <v>12955.45</v>
      </c>
      <c r="N119" s="114" t="s">
        <v>101</v>
      </c>
      <c r="O119" s="115">
        <v>41914</v>
      </c>
      <c r="P119" s="114"/>
      <c r="Q119" s="114"/>
    </row>
    <row r="120" spans="7:18" s="70" customFormat="1" ht="13.8" x14ac:dyDescent="0.3">
      <c r="G120" s="119">
        <v>3078</v>
      </c>
      <c r="H120" s="120">
        <v>41552</v>
      </c>
      <c r="I120" s="119" t="s">
        <v>84</v>
      </c>
      <c r="J120" s="119" t="s">
        <v>143</v>
      </c>
      <c r="K120" s="114">
        <v>5.9</v>
      </c>
      <c r="L120" s="114"/>
      <c r="M120" s="118">
        <f>IF(ISBLANK(MyTransactions[[#This Row],[Withdrawal]]),M119+MyTransactions[[#This Row],[Deposit]],M119-MyTransactions[[#This Row],[Withdrawal]])</f>
        <v>12949.550000000001</v>
      </c>
      <c r="N120" s="114" t="s">
        <v>101</v>
      </c>
      <c r="O120" s="115">
        <v>41551</v>
      </c>
      <c r="P120" s="114"/>
      <c r="Q120" s="114"/>
    </row>
    <row r="121" spans="7:18" s="70" customFormat="1" ht="13.8" x14ac:dyDescent="0.3">
      <c r="G121" s="119">
        <v>3079</v>
      </c>
      <c r="H121" s="120">
        <v>41552</v>
      </c>
      <c r="I121" s="119" t="s">
        <v>84</v>
      </c>
      <c r="J121" s="119" t="s">
        <v>144</v>
      </c>
      <c r="K121" s="114">
        <v>80</v>
      </c>
      <c r="L121" s="114"/>
      <c r="M121" s="118">
        <f>IF(ISBLANK(MyTransactions[[#This Row],[Withdrawal]]),M120+MyTransactions[[#This Row],[Deposit]],M120-MyTransactions[[#This Row],[Withdrawal]])</f>
        <v>12869.550000000001</v>
      </c>
      <c r="N121" s="114" t="s">
        <v>101</v>
      </c>
      <c r="O121" s="115">
        <v>41551</v>
      </c>
      <c r="P121" s="114"/>
      <c r="Q121" s="114"/>
      <c r="R121" s="70">
        <v>11834.26</v>
      </c>
    </row>
    <row r="122" spans="7:18" s="70" customFormat="1" ht="13.8" x14ac:dyDescent="0.3">
      <c r="G122" s="119">
        <v>3080</v>
      </c>
      <c r="H122" s="120">
        <v>41552</v>
      </c>
      <c r="I122" s="119" t="s">
        <v>145</v>
      </c>
      <c r="J122" s="119" t="s">
        <v>146</v>
      </c>
      <c r="K122" s="114">
        <v>150</v>
      </c>
      <c r="L122" s="114"/>
      <c r="M122" s="118">
        <f>IF(ISBLANK(MyTransactions[[#This Row],[Withdrawal]]),M121+MyTransactions[[#This Row],[Deposit]],M121-MyTransactions[[#This Row],[Withdrawal]])</f>
        <v>12719.550000000001</v>
      </c>
      <c r="N122" s="114" t="s">
        <v>101</v>
      </c>
      <c r="O122" s="124">
        <v>41625</v>
      </c>
      <c r="P122" s="114"/>
      <c r="Q122" s="114"/>
      <c r="R122" s="70">
        <v>11023.87</v>
      </c>
    </row>
    <row r="123" spans="7:18" s="70" customFormat="1" ht="13.8" x14ac:dyDescent="0.3">
      <c r="G123" s="119">
        <v>3081</v>
      </c>
      <c r="H123" s="120">
        <v>41552</v>
      </c>
      <c r="I123" s="119" t="s">
        <v>147</v>
      </c>
      <c r="J123" s="119" t="s">
        <v>148</v>
      </c>
      <c r="K123" s="114">
        <v>500</v>
      </c>
      <c r="L123" s="114"/>
      <c r="M123" s="118">
        <f>IF(ISBLANK(MyTransactions[[#This Row],[Withdrawal]]),M122+MyTransactions[[#This Row],[Deposit]],M122-MyTransactions[[#This Row],[Withdrawal]])</f>
        <v>12219.550000000001</v>
      </c>
      <c r="N123" s="114" t="s">
        <v>101</v>
      </c>
      <c r="O123" s="124">
        <v>41642</v>
      </c>
      <c r="P123" s="114"/>
      <c r="Q123" s="114"/>
      <c r="R123" s="70">
        <f>+R121-R122</f>
        <v>810.38999999999942</v>
      </c>
    </row>
    <row r="124" spans="7:18" s="70" customFormat="1" ht="13.8" x14ac:dyDescent="0.3">
      <c r="G124" s="119">
        <v>3082</v>
      </c>
      <c r="H124" s="120">
        <v>41552</v>
      </c>
      <c r="I124" s="119" t="s">
        <v>92</v>
      </c>
      <c r="J124" s="119" t="s">
        <v>47</v>
      </c>
      <c r="K124" s="114">
        <v>50</v>
      </c>
      <c r="L124" s="114"/>
      <c r="M124" s="118">
        <f>IF(ISBLANK(MyTransactions[[#This Row],[Withdrawal]]),M123+MyTransactions[[#This Row],[Deposit]],M123-MyTransactions[[#This Row],[Withdrawal]])</f>
        <v>12169.550000000001</v>
      </c>
      <c r="N124" s="114" t="s">
        <v>101</v>
      </c>
      <c r="O124" s="115">
        <v>41555</v>
      </c>
      <c r="P124" s="114"/>
      <c r="Q124" s="114"/>
      <c r="R124" s="70">
        <v>650</v>
      </c>
    </row>
    <row r="125" spans="7:18" s="70" customFormat="1" ht="13.8" x14ac:dyDescent="0.3">
      <c r="G125" s="119">
        <v>3083</v>
      </c>
      <c r="H125" s="120">
        <v>41552</v>
      </c>
      <c r="I125" s="119" t="s">
        <v>149</v>
      </c>
      <c r="J125" s="119" t="s">
        <v>34</v>
      </c>
      <c r="K125" s="114">
        <v>250</v>
      </c>
      <c r="L125" s="114"/>
      <c r="M125" s="118">
        <f>IF(ISBLANK(MyTransactions[[#This Row],[Withdrawal]]),M124+MyTransactions[[#This Row],[Deposit]],M124-MyTransactions[[#This Row],[Withdrawal]])</f>
        <v>11919.550000000001</v>
      </c>
      <c r="N125" s="114" t="s">
        <v>101</v>
      </c>
      <c r="O125" s="115">
        <v>41575</v>
      </c>
      <c r="P125" s="114"/>
      <c r="Q125" s="114"/>
      <c r="R125" s="70">
        <f>+R123-R124</f>
        <v>160.38999999999942</v>
      </c>
    </row>
    <row r="126" spans="7:18" s="70" customFormat="1" ht="13.8" x14ac:dyDescent="0.3">
      <c r="G126" s="119">
        <v>3084</v>
      </c>
      <c r="H126" s="120">
        <v>41552</v>
      </c>
      <c r="I126" s="119" t="s">
        <v>129</v>
      </c>
      <c r="J126" s="119" t="s">
        <v>34</v>
      </c>
      <c r="K126" s="114">
        <v>78.010000000000005</v>
      </c>
      <c r="L126" s="114"/>
      <c r="M126" s="118">
        <f>IF(ISBLANK(MyTransactions[[#This Row],[Withdrawal]]),M125+MyTransactions[[#This Row],[Deposit]],M125-MyTransactions[[#This Row],[Withdrawal]])</f>
        <v>11841.54</v>
      </c>
      <c r="N126" s="114" t="s">
        <v>101</v>
      </c>
      <c r="O126" s="115">
        <v>41554</v>
      </c>
      <c r="P126" s="114"/>
      <c r="Q126" s="114"/>
    </row>
    <row r="127" spans="7:18" s="70" customFormat="1" ht="13.8" x14ac:dyDescent="0.3">
      <c r="G127" s="119">
        <v>3085</v>
      </c>
      <c r="H127" s="120">
        <v>41552</v>
      </c>
      <c r="I127" s="119" t="s">
        <v>93</v>
      </c>
      <c r="J127" s="119" t="s">
        <v>39</v>
      </c>
      <c r="K127" s="114">
        <v>47.4</v>
      </c>
      <c r="L127" s="114"/>
      <c r="M127" s="118">
        <f>IF(ISBLANK(MyTransactions[[#This Row],[Withdrawal]]),M126+MyTransactions[[#This Row],[Deposit]],M126-MyTransactions[[#This Row],[Withdrawal]])</f>
        <v>11794.140000000001</v>
      </c>
      <c r="N127" s="114" t="s">
        <v>101</v>
      </c>
      <c r="O127" s="115">
        <v>41571</v>
      </c>
      <c r="P127" s="114"/>
      <c r="Q127" s="114"/>
    </row>
    <row r="128" spans="7:18" s="70" customFormat="1" ht="13.8" x14ac:dyDescent="0.3">
      <c r="G128" s="119"/>
      <c r="H128" s="120">
        <v>41552</v>
      </c>
      <c r="I128" s="119" t="s">
        <v>11</v>
      </c>
      <c r="J128" s="119" t="s">
        <v>32</v>
      </c>
      <c r="K128" s="114"/>
      <c r="L128" s="114">
        <v>65</v>
      </c>
      <c r="M128" s="118">
        <f>IF(ISBLANK(MyTransactions[[#This Row],[Withdrawal]]),M127+MyTransactions[[#This Row],[Deposit]],M127-MyTransactions[[#This Row],[Withdrawal]])</f>
        <v>11859.140000000001</v>
      </c>
      <c r="N128" s="114" t="s">
        <v>101</v>
      </c>
      <c r="O128" s="115">
        <v>41555</v>
      </c>
      <c r="P128" s="114"/>
      <c r="Q128" s="114"/>
      <c r="R128" s="70">
        <f>+R121-650</f>
        <v>11184.26</v>
      </c>
    </row>
    <row r="129" spans="7:18" s="70" customFormat="1" ht="13.8" x14ac:dyDescent="0.3">
      <c r="G129" s="119">
        <v>3086</v>
      </c>
      <c r="H129" s="120">
        <v>41569</v>
      </c>
      <c r="I129" s="119" t="s">
        <v>82</v>
      </c>
      <c r="J129" s="119" t="s">
        <v>46</v>
      </c>
      <c r="K129" s="114">
        <v>825</v>
      </c>
      <c r="L129" s="114"/>
      <c r="M129" s="118">
        <f>IF(ISBLANK(MyTransactions[[#This Row],[Withdrawal]]),M128+MyTransactions[[#This Row],[Deposit]],M128-MyTransactions[[#This Row],[Withdrawal]])</f>
        <v>11034.140000000001</v>
      </c>
      <c r="N129" s="114" t="s">
        <v>101</v>
      </c>
      <c r="O129" s="115">
        <v>41570</v>
      </c>
      <c r="P129" s="114"/>
      <c r="Q129" s="114"/>
      <c r="R129" s="70">
        <v>11195.06</v>
      </c>
    </row>
    <row r="130" spans="7:18" s="70" customFormat="1" ht="13.8" x14ac:dyDescent="0.3">
      <c r="G130" s="119"/>
      <c r="H130" s="120">
        <v>41578</v>
      </c>
      <c r="I130" s="119" t="s">
        <v>90</v>
      </c>
      <c r="J130" s="119" t="s">
        <v>91</v>
      </c>
      <c r="K130" s="114"/>
      <c r="L130" s="114">
        <v>0.53</v>
      </c>
      <c r="M130" s="118">
        <f>IF(ISBLANK(MyTransactions[[#This Row],[Withdrawal]]),M129+MyTransactions[[#This Row],[Deposit]],M129-MyTransactions[[#This Row],[Withdrawal]])</f>
        <v>11034.670000000002</v>
      </c>
      <c r="N130" s="114" t="s">
        <v>101</v>
      </c>
      <c r="O130" s="115">
        <v>41578</v>
      </c>
      <c r="P130" s="114"/>
      <c r="Q130" s="114"/>
      <c r="R130" s="70">
        <f>+R128-R129</f>
        <v>-10.799999999999272</v>
      </c>
    </row>
    <row r="131" spans="7:18" s="71" customFormat="1" ht="13.8" x14ac:dyDescent="0.3">
      <c r="G131" s="129"/>
      <c r="H131" s="130">
        <v>41578</v>
      </c>
      <c r="I131" s="129" t="s">
        <v>370</v>
      </c>
      <c r="J131" s="129" t="s">
        <v>44</v>
      </c>
      <c r="K131" s="131"/>
      <c r="L131" s="131">
        <f>160.39-10.8</f>
        <v>149.58999999999997</v>
      </c>
      <c r="M131" s="118">
        <f>IF(ISBLANK(MyTransactions[[#This Row],[Withdrawal]]),M130+MyTransactions[[#This Row],[Deposit]],M130-MyTransactions[[#This Row],[Withdrawal]])</f>
        <v>11184.260000000002</v>
      </c>
      <c r="N131" s="131"/>
      <c r="O131" s="124"/>
      <c r="P131" s="131"/>
      <c r="Q131" s="131"/>
    </row>
    <row r="132" spans="7:18" s="70" customFormat="1" x14ac:dyDescent="0.3">
      <c r="G132" s="54">
        <v>3080</v>
      </c>
      <c r="H132" s="55">
        <v>41552</v>
      </c>
      <c r="I132" s="54" t="s">
        <v>145</v>
      </c>
      <c r="J132" s="54" t="s">
        <v>34</v>
      </c>
      <c r="K132" s="56">
        <v>0</v>
      </c>
      <c r="L132" s="57"/>
      <c r="M132" s="118">
        <f>IF(ISBLANK(MyTransactions[[#This Row],[Withdrawal]]),M131+MyTransactions[[#This Row],[Deposit]],M131-MyTransactions[[#This Row],[Withdrawal]])</f>
        <v>11184.260000000002</v>
      </c>
      <c r="N132" s="125" t="s">
        <v>342</v>
      </c>
      <c r="O132" s="115">
        <v>41625</v>
      </c>
      <c r="P132" s="115"/>
      <c r="Q132" s="126"/>
    </row>
    <row r="133" spans="7:18" s="70" customFormat="1" x14ac:dyDescent="0.3">
      <c r="G133" s="54">
        <v>3081</v>
      </c>
      <c r="H133" s="55">
        <v>41552</v>
      </c>
      <c r="I133" s="54" t="s">
        <v>147</v>
      </c>
      <c r="J133" s="54" t="s">
        <v>160</v>
      </c>
      <c r="K133" s="56">
        <v>0</v>
      </c>
      <c r="L133" s="57"/>
      <c r="M133" s="118">
        <f>IF(ISBLANK(MyTransactions[[#This Row],[Withdrawal]]),M132+MyTransactions[[#This Row],[Deposit]],M132-MyTransactions[[#This Row],[Withdrawal]])</f>
        <v>11184.260000000002</v>
      </c>
      <c r="N133" s="125" t="s">
        <v>342</v>
      </c>
      <c r="O133" s="115">
        <v>41642</v>
      </c>
      <c r="P133" s="115"/>
      <c r="Q133" s="126"/>
    </row>
    <row r="134" spans="7:18" s="70" customFormat="1" x14ac:dyDescent="0.3">
      <c r="G134" s="54"/>
      <c r="H134" s="55">
        <v>41579</v>
      </c>
      <c r="I134" s="54" t="s">
        <v>152</v>
      </c>
      <c r="J134" s="54" t="s">
        <v>33</v>
      </c>
      <c r="K134" s="56"/>
      <c r="L134" s="57">
        <v>401.22</v>
      </c>
      <c r="M134" s="118">
        <f>IF(ISBLANK(MyTransactions[[#This Row],[Withdrawal]]),M133+MyTransactions[[#This Row],[Deposit]],M133-MyTransactions[[#This Row],[Withdrawal]])</f>
        <v>11585.480000000001</v>
      </c>
      <c r="N134" s="125" t="s">
        <v>342</v>
      </c>
      <c r="O134" s="115">
        <v>41582</v>
      </c>
      <c r="P134" s="115"/>
      <c r="Q134" s="126"/>
    </row>
    <row r="135" spans="7:18" s="70" customFormat="1" x14ac:dyDescent="0.3">
      <c r="G135" s="54"/>
      <c r="H135" s="55">
        <v>41607</v>
      </c>
      <c r="I135" s="54" t="s">
        <v>90</v>
      </c>
      <c r="J135" s="54" t="s">
        <v>91</v>
      </c>
      <c r="K135" s="56"/>
      <c r="L135" s="57">
        <v>0.5</v>
      </c>
      <c r="M135" s="118">
        <f>IF(ISBLANK(MyTransactions[[#This Row],[Withdrawal]]),M134+MyTransactions[[#This Row],[Deposit]],M134-MyTransactions[[#This Row],[Withdrawal]])</f>
        <v>11585.980000000001</v>
      </c>
      <c r="N135" s="125" t="s">
        <v>101</v>
      </c>
      <c r="O135" s="115">
        <v>41607</v>
      </c>
      <c r="P135" s="115"/>
      <c r="Q135" s="126"/>
    </row>
    <row r="136" spans="7:18" s="70" customFormat="1" ht="13.8" x14ac:dyDescent="0.3">
      <c r="G136" s="116"/>
      <c r="H136" s="117"/>
      <c r="I136" s="116"/>
      <c r="J136" s="116"/>
      <c r="K136" s="118">
        <f>SUBTOTAL(109,MyTransactions[Withdrawal])</f>
        <v>20942.830000000002</v>
      </c>
      <c r="L136" s="118">
        <f>SUBTOTAL(109,MyTransactions[Deposit])</f>
        <v>32528.81</v>
      </c>
      <c r="M136" s="118">
        <f>MyTransactions[[#Totals],[Deposit]]-MyTransactions[[#Totals],[Withdrawal]]</f>
        <v>11585.98</v>
      </c>
      <c r="N136" s="127"/>
      <c r="O136" s="128"/>
      <c r="P136" s="127"/>
      <c r="Q136" s="127"/>
    </row>
    <row r="137" spans="7:18" s="70" customFormat="1" ht="13.8" x14ac:dyDescent="0.3">
      <c r="I137" s="70">
        <v>3</v>
      </c>
      <c r="O137" s="102"/>
    </row>
    <row r="138" spans="7:18" s="70" customFormat="1" ht="13.8" x14ac:dyDescent="0.3">
      <c r="M138" s="123">
        <f>+M6-MyTransactions[[#Totals],[Balance]]</f>
        <v>1496.2200000000012</v>
      </c>
      <c r="O138" s="102"/>
    </row>
    <row r="139" spans="7:18" s="70" customFormat="1" ht="13.8" x14ac:dyDescent="0.3">
      <c r="O139" s="102"/>
    </row>
    <row r="140" spans="7:18" s="70" customFormat="1" ht="13.8" x14ac:dyDescent="0.3">
      <c r="O140" s="102"/>
    </row>
    <row r="141" spans="7:18" s="70" customFormat="1" ht="13.8" x14ac:dyDescent="0.3">
      <c r="O141" s="102"/>
    </row>
    <row r="142" spans="7:18" s="70" customFormat="1" ht="13.8" x14ac:dyDescent="0.3">
      <c r="O142" s="102"/>
    </row>
    <row r="143" spans="7:18" s="70" customFormat="1" ht="13.8" x14ac:dyDescent="0.3">
      <c r="O143" s="102"/>
    </row>
    <row r="144" spans="7:18" s="70" customFormat="1" ht="13.8" x14ac:dyDescent="0.3">
      <c r="O144" s="102"/>
    </row>
    <row r="145" spans="15:15" s="70" customFormat="1" ht="13.8" x14ac:dyDescent="0.3">
      <c r="O145" s="102"/>
    </row>
    <row r="146" spans="15:15" s="70" customFormat="1" ht="13.8" x14ac:dyDescent="0.3">
      <c r="O146" s="102"/>
    </row>
    <row r="147" spans="15:15" s="70" customFormat="1" ht="13.8" x14ac:dyDescent="0.3">
      <c r="O147" s="102"/>
    </row>
    <row r="148" spans="15:15" s="70" customFormat="1" ht="13.8" x14ac:dyDescent="0.3">
      <c r="O148" s="102"/>
    </row>
    <row r="149" spans="15:15" s="70" customFormat="1" ht="13.8" x14ac:dyDescent="0.3">
      <c r="O149" s="102"/>
    </row>
    <row r="150" spans="15:15" s="70" customFormat="1" ht="13.8" x14ac:dyDescent="0.3">
      <c r="O150" s="102"/>
    </row>
    <row r="151" spans="15:15" s="70" customFormat="1" ht="13.8" x14ac:dyDescent="0.3">
      <c r="O151" s="102"/>
    </row>
    <row r="152" spans="15:15" s="70" customFormat="1" ht="13.8" x14ac:dyDescent="0.3">
      <c r="O152" s="102"/>
    </row>
    <row r="153" spans="15:15" s="70" customFormat="1" ht="13.8" x14ac:dyDescent="0.3">
      <c r="O153" s="102"/>
    </row>
    <row r="154" spans="15:15" s="70" customFormat="1" ht="13.8" x14ac:dyDescent="0.3">
      <c r="O154" s="102"/>
    </row>
    <row r="155" spans="15:15" s="70" customFormat="1" ht="13.8" x14ac:dyDescent="0.3">
      <c r="O155" s="102"/>
    </row>
    <row r="156" spans="15:15" s="70" customFormat="1" ht="13.8" x14ac:dyDescent="0.3">
      <c r="O156" s="102"/>
    </row>
    <row r="157" spans="15:15" s="70" customFormat="1" ht="13.8" x14ac:dyDescent="0.3">
      <c r="O157" s="102"/>
    </row>
    <row r="158" spans="15:15" s="70" customFormat="1" ht="13.8" x14ac:dyDescent="0.3">
      <c r="O158" s="102"/>
    </row>
    <row r="159" spans="15:15" s="70" customFormat="1" ht="13.8" x14ac:dyDescent="0.3">
      <c r="O159" s="102"/>
    </row>
    <row r="160" spans="15:15" s="70" customFormat="1" ht="13.8" x14ac:dyDescent="0.3">
      <c r="O160" s="102"/>
    </row>
    <row r="161" spans="15:15" s="70" customFormat="1" ht="13.8" x14ac:dyDescent="0.3">
      <c r="O161" s="102"/>
    </row>
    <row r="162" spans="15:15" s="70" customFormat="1" ht="13.8" x14ac:dyDescent="0.3">
      <c r="O162" s="102"/>
    </row>
    <row r="163" spans="15:15" s="70" customFormat="1" ht="13.8" x14ac:dyDescent="0.3">
      <c r="O163" s="102"/>
    </row>
    <row r="164" spans="15:15" s="70" customFormat="1" ht="13.8" x14ac:dyDescent="0.3">
      <c r="O164" s="102"/>
    </row>
    <row r="165" spans="15:15" s="70" customFormat="1" ht="13.8" x14ac:dyDescent="0.3">
      <c r="O165" s="102"/>
    </row>
    <row r="166" spans="15:15" s="70" customFormat="1" ht="13.8" x14ac:dyDescent="0.3">
      <c r="O166" s="102"/>
    </row>
    <row r="167" spans="15:15" s="70" customFormat="1" ht="13.8" x14ac:dyDescent="0.3">
      <c r="O167" s="102"/>
    </row>
    <row r="168" spans="15:15" s="70" customFormat="1" ht="13.8" x14ac:dyDescent="0.3">
      <c r="O168" s="102"/>
    </row>
    <row r="169" spans="15:15" s="70" customFormat="1" ht="13.8" x14ac:dyDescent="0.3">
      <c r="O169" s="102"/>
    </row>
    <row r="170" spans="15:15" s="70" customFormat="1" ht="13.8" x14ac:dyDescent="0.3">
      <c r="O170" s="102"/>
    </row>
    <row r="171" spans="15:15" s="70" customFormat="1" ht="13.8" x14ac:dyDescent="0.3">
      <c r="O171" s="102"/>
    </row>
    <row r="172" spans="15:15" s="70" customFormat="1" ht="13.8" x14ac:dyDescent="0.3">
      <c r="O172" s="102"/>
    </row>
    <row r="173" spans="15:15" s="70" customFormat="1" ht="13.8" x14ac:dyDescent="0.3">
      <c r="O173" s="102"/>
    </row>
    <row r="174" spans="15:15" s="70" customFormat="1" ht="13.8" x14ac:dyDescent="0.3">
      <c r="O174" s="102"/>
    </row>
    <row r="175" spans="15:15" s="70" customFormat="1" ht="13.8" x14ac:dyDescent="0.3">
      <c r="O175" s="102"/>
    </row>
    <row r="176" spans="15:15" s="70" customFormat="1" ht="13.8" x14ac:dyDescent="0.3">
      <c r="O176" s="102"/>
    </row>
    <row r="177" spans="15:15" s="70" customFormat="1" ht="13.8" x14ac:dyDescent="0.3">
      <c r="O177" s="102"/>
    </row>
    <row r="178" spans="15:15" s="70" customFormat="1" ht="13.8" x14ac:dyDescent="0.3">
      <c r="O178" s="102"/>
    </row>
    <row r="179" spans="15:15" s="70" customFormat="1" ht="13.8" x14ac:dyDescent="0.3">
      <c r="O179" s="102"/>
    </row>
    <row r="180" spans="15:15" s="70" customFormat="1" ht="13.8" x14ac:dyDescent="0.3">
      <c r="O180" s="102"/>
    </row>
    <row r="181" spans="15:15" s="70" customFormat="1" ht="13.8" x14ac:dyDescent="0.3">
      <c r="O181" s="102"/>
    </row>
    <row r="182" spans="15:15" s="70" customFormat="1" ht="13.8" x14ac:dyDescent="0.3">
      <c r="O182" s="102"/>
    </row>
    <row r="183" spans="15:15" s="70" customFormat="1" ht="13.8" x14ac:dyDescent="0.3">
      <c r="O183" s="102"/>
    </row>
    <row r="184" spans="15:15" s="70" customFormat="1" ht="13.8" x14ac:dyDescent="0.3">
      <c r="O184" s="102"/>
    </row>
    <row r="185" spans="15:15" s="70" customFormat="1" ht="13.8" x14ac:dyDescent="0.3">
      <c r="O185" s="102"/>
    </row>
    <row r="186" spans="15:15" s="70" customFormat="1" ht="13.8" x14ac:dyDescent="0.3">
      <c r="O186" s="102"/>
    </row>
    <row r="187" spans="15:15" s="70" customFormat="1" ht="13.8" x14ac:dyDescent="0.3">
      <c r="O187" s="102"/>
    </row>
    <row r="188" spans="15:15" s="70" customFormat="1" ht="13.8" x14ac:dyDescent="0.3">
      <c r="O188" s="102"/>
    </row>
    <row r="189" spans="15:15" s="70" customFormat="1" ht="13.8" x14ac:dyDescent="0.3">
      <c r="O189" s="102"/>
    </row>
    <row r="190" spans="15:15" s="70" customFormat="1" ht="13.8" x14ac:dyDescent="0.3">
      <c r="O190" s="102"/>
    </row>
    <row r="191" spans="15:15" s="70" customFormat="1" ht="13.8" x14ac:dyDescent="0.3">
      <c r="O191" s="102"/>
    </row>
    <row r="192" spans="15:15" s="70" customFormat="1" ht="13.8" x14ac:dyDescent="0.3">
      <c r="O192" s="102"/>
    </row>
    <row r="193" spans="15:15" s="70" customFormat="1" ht="13.8" x14ac:dyDescent="0.3">
      <c r="O193" s="102"/>
    </row>
    <row r="194" spans="15:15" s="70" customFormat="1" ht="13.8" x14ac:dyDescent="0.3">
      <c r="O194" s="102"/>
    </row>
    <row r="195" spans="15:15" s="70" customFormat="1" ht="13.8" x14ac:dyDescent="0.3">
      <c r="O195" s="102"/>
    </row>
    <row r="196" spans="15:15" s="70" customFormat="1" ht="13.8" x14ac:dyDescent="0.3">
      <c r="O196" s="102"/>
    </row>
    <row r="197" spans="15:15" s="70" customFormat="1" ht="13.8" x14ac:dyDescent="0.3">
      <c r="O197" s="102"/>
    </row>
    <row r="198" spans="15:15" s="70" customFormat="1" ht="13.8" x14ac:dyDescent="0.3">
      <c r="O198" s="102"/>
    </row>
    <row r="199" spans="15:15" s="70" customFormat="1" ht="13.8" x14ac:dyDescent="0.3">
      <c r="O199" s="102"/>
    </row>
    <row r="200" spans="15:15" s="70" customFormat="1" ht="13.8" x14ac:dyDescent="0.3">
      <c r="O200" s="102"/>
    </row>
    <row r="201" spans="15:15" s="70" customFormat="1" ht="13.8" x14ac:dyDescent="0.3">
      <c r="O201" s="102"/>
    </row>
    <row r="202" spans="15:15" s="70" customFormat="1" ht="13.8" x14ac:dyDescent="0.3">
      <c r="O202" s="102"/>
    </row>
    <row r="203" spans="15:15" s="70" customFormat="1" ht="13.8" x14ac:dyDescent="0.3">
      <c r="O203" s="102"/>
    </row>
    <row r="204" spans="15:15" s="70" customFormat="1" ht="13.8" x14ac:dyDescent="0.3">
      <c r="O204" s="102"/>
    </row>
    <row r="205" spans="15:15" s="70" customFormat="1" ht="13.8" x14ac:dyDescent="0.3">
      <c r="O205" s="102"/>
    </row>
    <row r="206" spans="15:15" s="70" customFormat="1" ht="13.8" x14ac:dyDescent="0.3">
      <c r="O206" s="102"/>
    </row>
    <row r="207" spans="15:15" s="70" customFormat="1" ht="13.8" x14ac:dyDescent="0.3">
      <c r="O207" s="102"/>
    </row>
    <row r="208" spans="15:15" s="70" customFormat="1" ht="13.8" x14ac:dyDescent="0.3">
      <c r="O208" s="102"/>
    </row>
    <row r="209" spans="15:15" s="70" customFormat="1" ht="13.8" x14ac:dyDescent="0.3">
      <c r="O209" s="102"/>
    </row>
    <row r="210" spans="15:15" s="70" customFormat="1" ht="13.8" x14ac:dyDescent="0.3">
      <c r="O210" s="102"/>
    </row>
    <row r="211" spans="15:15" s="70" customFormat="1" ht="13.8" x14ac:dyDescent="0.3">
      <c r="O211" s="102"/>
    </row>
    <row r="212" spans="15:15" s="70" customFormat="1" ht="13.8" x14ac:dyDescent="0.3">
      <c r="O212" s="102"/>
    </row>
    <row r="213" spans="15:15" s="70" customFormat="1" ht="13.8" x14ac:dyDescent="0.3">
      <c r="O213" s="102"/>
    </row>
    <row r="214" spans="15:15" s="70" customFormat="1" ht="13.8" x14ac:dyDescent="0.3">
      <c r="O214" s="102"/>
    </row>
    <row r="215" spans="15:15" s="70" customFormat="1" ht="13.8" x14ac:dyDescent="0.3">
      <c r="O215" s="102"/>
    </row>
    <row r="216" spans="15:15" s="70" customFormat="1" ht="13.8" x14ac:dyDescent="0.3">
      <c r="O216" s="102"/>
    </row>
    <row r="217" spans="15:15" s="70" customFormat="1" ht="13.8" x14ac:dyDescent="0.3">
      <c r="O217" s="102"/>
    </row>
    <row r="218" spans="15:15" s="70" customFormat="1" ht="13.8" x14ac:dyDescent="0.3">
      <c r="O218" s="102"/>
    </row>
    <row r="219" spans="15:15" s="70" customFormat="1" ht="13.8" x14ac:dyDescent="0.3">
      <c r="O219" s="102"/>
    </row>
    <row r="220" spans="15:15" s="70" customFormat="1" ht="13.8" x14ac:dyDescent="0.3">
      <c r="O220" s="102"/>
    </row>
    <row r="221" spans="15:15" s="70" customFormat="1" ht="13.8" x14ac:dyDescent="0.3">
      <c r="O221" s="102"/>
    </row>
    <row r="222" spans="15:15" s="70" customFormat="1" ht="13.8" x14ac:dyDescent="0.3">
      <c r="O222" s="102"/>
    </row>
    <row r="223" spans="15:15" s="70" customFormat="1" ht="13.8" x14ac:dyDescent="0.3">
      <c r="O223" s="102"/>
    </row>
    <row r="224" spans="15:15" s="70" customFormat="1" ht="13.8" x14ac:dyDescent="0.3">
      <c r="O224" s="102"/>
    </row>
    <row r="225" spans="15:15" s="70" customFormat="1" ht="13.8" x14ac:dyDescent="0.3">
      <c r="O225" s="102"/>
    </row>
    <row r="226" spans="15:15" s="70" customFormat="1" ht="13.8" x14ac:dyDescent="0.3">
      <c r="O226" s="102"/>
    </row>
    <row r="227" spans="15:15" s="70" customFormat="1" ht="13.8" x14ac:dyDescent="0.3">
      <c r="O227" s="102"/>
    </row>
    <row r="228" spans="15:15" s="70" customFormat="1" ht="13.8" x14ac:dyDescent="0.3">
      <c r="O228" s="102"/>
    </row>
    <row r="229" spans="15:15" s="70" customFormat="1" ht="13.8" x14ac:dyDescent="0.3">
      <c r="O229" s="102"/>
    </row>
    <row r="230" spans="15:15" s="70" customFormat="1" ht="13.8" x14ac:dyDescent="0.3">
      <c r="O230" s="102"/>
    </row>
    <row r="231" spans="15:15" s="70" customFormat="1" ht="13.8" x14ac:dyDescent="0.3">
      <c r="O231" s="102"/>
    </row>
    <row r="232" spans="15:15" s="70" customFormat="1" ht="13.8" x14ac:dyDescent="0.3">
      <c r="O232" s="102"/>
    </row>
    <row r="233" spans="15:15" s="70" customFormat="1" ht="13.8" x14ac:dyDescent="0.3">
      <c r="O233" s="102"/>
    </row>
    <row r="234" spans="15:15" s="70" customFormat="1" ht="13.8" x14ac:dyDescent="0.3">
      <c r="O234" s="102"/>
    </row>
    <row r="235" spans="15:15" s="70" customFormat="1" ht="13.8" x14ac:dyDescent="0.3">
      <c r="O235" s="102"/>
    </row>
    <row r="236" spans="15:15" s="70" customFormat="1" ht="13.8" x14ac:dyDescent="0.3">
      <c r="O236" s="102"/>
    </row>
    <row r="237" spans="15:15" s="70" customFormat="1" ht="13.8" x14ac:dyDescent="0.3">
      <c r="O237" s="102"/>
    </row>
    <row r="238" spans="15:15" s="70" customFormat="1" ht="13.8" x14ac:dyDescent="0.3">
      <c r="O238" s="102"/>
    </row>
    <row r="239" spans="15:15" s="70" customFormat="1" ht="13.8" x14ac:dyDescent="0.3">
      <c r="O239" s="102"/>
    </row>
    <row r="240" spans="15:15" s="70" customFormat="1" ht="13.8" x14ac:dyDescent="0.3">
      <c r="O240" s="102"/>
    </row>
    <row r="241" spans="15:15" s="70" customFormat="1" ht="13.8" x14ac:dyDescent="0.3">
      <c r="O241" s="102"/>
    </row>
    <row r="242" spans="15:15" s="70" customFormat="1" ht="13.8" x14ac:dyDescent="0.3">
      <c r="O242" s="102"/>
    </row>
    <row r="243" spans="15:15" s="70" customFormat="1" ht="13.8" x14ac:dyDescent="0.3">
      <c r="O243" s="102"/>
    </row>
    <row r="244" spans="15:15" s="70" customFormat="1" ht="13.8" x14ac:dyDescent="0.3">
      <c r="O244" s="102"/>
    </row>
    <row r="245" spans="15:15" s="70" customFormat="1" ht="13.8" x14ac:dyDescent="0.3">
      <c r="O245" s="102"/>
    </row>
    <row r="246" spans="15:15" s="70" customFormat="1" ht="13.8" x14ac:dyDescent="0.3">
      <c r="O246" s="102"/>
    </row>
    <row r="247" spans="15:15" s="70" customFormat="1" ht="13.8" x14ac:dyDescent="0.3">
      <c r="O247" s="102"/>
    </row>
    <row r="248" spans="15:15" s="70" customFormat="1" ht="13.8" x14ac:dyDescent="0.3">
      <c r="O248" s="102"/>
    </row>
    <row r="249" spans="15:15" s="70" customFormat="1" ht="13.8" x14ac:dyDescent="0.3">
      <c r="O249" s="102"/>
    </row>
    <row r="250" spans="15:15" s="70" customFormat="1" ht="13.8" x14ac:dyDescent="0.3">
      <c r="O250" s="102"/>
    </row>
    <row r="251" spans="15:15" s="70" customFormat="1" ht="13.8" x14ac:dyDescent="0.3">
      <c r="O251" s="102"/>
    </row>
    <row r="252" spans="15:15" s="70" customFormat="1" ht="13.8" x14ac:dyDescent="0.3">
      <c r="O252" s="102"/>
    </row>
    <row r="253" spans="15:15" s="70" customFormat="1" ht="13.8" x14ac:dyDescent="0.3">
      <c r="O253" s="102"/>
    </row>
    <row r="254" spans="15:15" s="70" customFormat="1" ht="13.8" x14ac:dyDescent="0.3">
      <c r="O254" s="102"/>
    </row>
    <row r="255" spans="15:15" s="70" customFormat="1" ht="13.8" x14ac:dyDescent="0.3">
      <c r="O255" s="102"/>
    </row>
    <row r="256" spans="15:15" s="70" customFormat="1" ht="13.8" x14ac:dyDescent="0.3">
      <c r="O256" s="102"/>
    </row>
    <row r="257" spans="15:15" s="70" customFormat="1" ht="13.8" x14ac:dyDescent="0.3">
      <c r="O257" s="102"/>
    </row>
    <row r="258" spans="15:15" s="70" customFormat="1" ht="13.8" x14ac:dyDescent="0.3">
      <c r="O258" s="102"/>
    </row>
    <row r="259" spans="15:15" s="70" customFormat="1" ht="13.8" x14ac:dyDescent="0.3">
      <c r="O259" s="102"/>
    </row>
    <row r="260" spans="15:15" s="70" customFormat="1" ht="13.8" x14ac:dyDescent="0.3">
      <c r="O260" s="102"/>
    </row>
    <row r="261" spans="15:15" s="70" customFormat="1" ht="13.8" x14ac:dyDescent="0.3">
      <c r="O261" s="102"/>
    </row>
    <row r="262" spans="15:15" s="70" customFormat="1" ht="13.8" x14ac:dyDescent="0.3">
      <c r="O262" s="102"/>
    </row>
    <row r="263" spans="15:15" s="70" customFormat="1" ht="13.8" x14ac:dyDescent="0.3">
      <c r="O263" s="102"/>
    </row>
    <row r="264" spans="15:15" s="70" customFormat="1" ht="13.8" x14ac:dyDescent="0.3">
      <c r="O264" s="102"/>
    </row>
    <row r="265" spans="15:15" s="70" customFormat="1" ht="13.8" x14ac:dyDescent="0.3">
      <c r="O265" s="102"/>
    </row>
    <row r="266" spans="15:15" s="70" customFormat="1" ht="13.8" x14ac:dyDescent="0.3">
      <c r="O266" s="102"/>
    </row>
    <row r="267" spans="15:15" s="70" customFormat="1" ht="13.8" x14ac:dyDescent="0.3">
      <c r="O267" s="102"/>
    </row>
    <row r="268" spans="15:15" s="70" customFormat="1" ht="13.8" x14ac:dyDescent="0.3">
      <c r="O268" s="102"/>
    </row>
    <row r="269" spans="15:15" s="70" customFormat="1" ht="13.8" x14ac:dyDescent="0.3">
      <c r="O269" s="102"/>
    </row>
    <row r="270" spans="15:15" s="70" customFormat="1" ht="13.8" x14ac:dyDescent="0.3">
      <c r="O270" s="102"/>
    </row>
    <row r="271" spans="15:15" s="70" customFormat="1" ht="13.8" x14ac:dyDescent="0.3">
      <c r="O271" s="102"/>
    </row>
    <row r="272" spans="15:15" s="70" customFormat="1" ht="13.8" x14ac:dyDescent="0.3">
      <c r="O272" s="102"/>
    </row>
    <row r="273" spans="15:15" s="70" customFormat="1" ht="13.8" x14ac:dyDescent="0.3">
      <c r="O273" s="102"/>
    </row>
    <row r="274" spans="15:15" s="70" customFormat="1" ht="13.8" x14ac:dyDescent="0.3">
      <c r="O274" s="102"/>
    </row>
    <row r="275" spans="15:15" s="70" customFormat="1" ht="13.8" x14ac:dyDescent="0.3">
      <c r="O275" s="102"/>
    </row>
    <row r="276" spans="15:15" s="70" customFormat="1" ht="13.8" x14ac:dyDescent="0.3">
      <c r="O276" s="102"/>
    </row>
    <row r="277" spans="15:15" s="70" customFormat="1" ht="13.8" x14ac:dyDescent="0.3">
      <c r="O277" s="102"/>
    </row>
    <row r="278" spans="15:15" s="70" customFormat="1" ht="13.8" x14ac:dyDescent="0.3">
      <c r="O278" s="102"/>
    </row>
    <row r="279" spans="15:15" s="70" customFormat="1" ht="13.8" x14ac:dyDescent="0.3">
      <c r="O279" s="102"/>
    </row>
    <row r="280" spans="15:15" s="70" customFormat="1" ht="13.8" x14ac:dyDescent="0.3">
      <c r="O280" s="102"/>
    </row>
    <row r="281" spans="15:15" s="70" customFormat="1" ht="13.8" x14ac:dyDescent="0.3">
      <c r="O281" s="102"/>
    </row>
    <row r="282" spans="15:15" s="70" customFormat="1" ht="13.8" x14ac:dyDescent="0.3">
      <c r="O282" s="102"/>
    </row>
    <row r="283" spans="15:15" s="70" customFormat="1" ht="13.8" x14ac:dyDescent="0.3">
      <c r="O283" s="102"/>
    </row>
    <row r="284" spans="15:15" s="70" customFormat="1" ht="13.8" x14ac:dyDescent="0.3">
      <c r="O284" s="102"/>
    </row>
    <row r="285" spans="15:15" s="70" customFormat="1" ht="13.8" x14ac:dyDescent="0.3">
      <c r="O285" s="102"/>
    </row>
    <row r="286" spans="15:15" s="70" customFormat="1" ht="13.8" x14ac:dyDescent="0.3">
      <c r="O286" s="102"/>
    </row>
    <row r="287" spans="15:15" s="70" customFormat="1" ht="13.8" x14ac:dyDescent="0.3">
      <c r="O287" s="102"/>
    </row>
    <row r="288" spans="15:15" s="70" customFormat="1" ht="13.8" x14ac:dyDescent="0.3">
      <c r="O288" s="102"/>
    </row>
    <row r="289" spans="15:15" s="70" customFormat="1" ht="13.8" x14ac:dyDescent="0.3">
      <c r="O289" s="102"/>
    </row>
    <row r="290" spans="15:15" s="70" customFormat="1" ht="13.8" x14ac:dyDescent="0.3">
      <c r="O290" s="102"/>
    </row>
    <row r="291" spans="15:15" s="70" customFormat="1" ht="13.8" x14ac:dyDescent="0.3">
      <c r="O291" s="102"/>
    </row>
    <row r="292" spans="15:15" s="70" customFormat="1" ht="13.8" x14ac:dyDescent="0.3">
      <c r="O292" s="102"/>
    </row>
    <row r="293" spans="15:15" s="70" customFormat="1" ht="13.8" x14ac:dyDescent="0.3">
      <c r="O293" s="102"/>
    </row>
    <row r="294" spans="15:15" s="70" customFormat="1" ht="13.8" x14ac:dyDescent="0.3">
      <c r="O294" s="102"/>
    </row>
    <row r="295" spans="15:15" s="70" customFormat="1" ht="13.8" x14ac:dyDescent="0.3">
      <c r="O295" s="102"/>
    </row>
    <row r="296" spans="15:15" s="70" customFormat="1" ht="13.8" x14ac:dyDescent="0.3">
      <c r="O296" s="102"/>
    </row>
    <row r="297" spans="15:15" s="70" customFormat="1" ht="13.8" x14ac:dyDescent="0.3">
      <c r="O297" s="102"/>
    </row>
    <row r="298" spans="15:15" s="70" customFormat="1" ht="13.8" x14ac:dyDescent="0.3">
      <c r="O298" s="102"/>
    </row>
    <row r="299" spans="15:15" s="70" customFormat="1" ht="13.8" x14ac:dyDescent="0.3">
      <c r="O299" s="102"/>
    </row>
    <row r="300" spans="15:15" s="70" customFormat="1" ht="13.8" x14ac:dyDescent="0.3">
      <c r="O300" s="102"/>
    </row>
    <row r="301" spans="15:15" s="70" customFormat="1" ht="13.8" x14ac:dyDescent="0.3">
      <c r="O301" s="102"/>
    </row>
    <row r="302" spans="15:15" s="70" customFormat="1" ht="13.8" x14ac:dyDescent="0.3">
      <c r="O302" s="102"/>
    </row>
    <row r="303" spans="15:15" s="70" customFormat="1" ht="13.8" x14ac:dyDescent="0.3">
      <c r="O303" s="102"/>
    </row>
    <row r="304" spans="15:15" s="70" customFormat="1" ht="13.8" x14ac:dyDescent="0.3">
      <c r="O304" s="102"/>
    </row>
    <row r="305" spans="15:15" s="70" customFormat="1" ht="13.8" x14ac:dyDescent="0.3">
      <c r="O305" s="102"/>
    </row>
    <row r="306" spans="15:15" s="70" customFormat="1" ht="13.8" x14ac:dyDescent="0.3">
      <c r="O306" s="102"/>
    </row>
    <row r="307" spans="15:15" s="70" customFormat="1" ht="13.8" x14ac:dyDescent="0.3">
      <c r="O307" s="102"/>
    </row>
    <row r="308" spans="15:15" s="70" customFormat="1" ht="13.8" x14ac:dyDescent="0.3">
      <c r="O308" s="102"/>
    </row>
    <row r="309" spans="15:15" s="70" customFormat="1" ht="13.8" x14ac:dyDescent="0.3">
      <c r="O309" s="102"/>
    </row>
    <row r="310" spans="15:15" s="70" customFormat="1" ht="13.8" x14ac:dyDescent="0.3">
      <c r="O310" s="102"/>
    </row>
    <row r="311" spans="15:15" s="70" customFormat="1" ht="13.8" x14ac:dyDescent="0.3">
      <c r="O311" s="102"/>
    </row>
    <row r="312" spans="15:15" s="70" customFormat="1" ht="13.8" x14ac:dyDescent="0.3">
      <c r="O312" s="102"/>
    </row>
    <row r="313" spans="15:15" s="70" customFormat="1" ht="13.8" x14ac:dyDescent="0.3">
      <c r="O313" s="102"/>
    </row>
    <row r="314" spans="15:15" s="70" customFormat="1" ht="13.8" x14ac:dyDescent="0.3">
      <c r="O314" s="102"/>
    </row>
    <row r="315" spans="15:15" s="70" customFormat="1" ht="13.8" x14ac:dyDescent="0.3">
      <c r="O315" s="102"/>
    </row>
    <row r="316" spans="15:15" s="70" customFormat="1" ht="13.8" x14ac:dyDescent="0.3">
      <c r="O316" s="102"/>
    </row>
    <row r="317" spans="15:15" s="70" customFormat="1" ht="13.8" x14ac:dyDescent="0.3">
      <c r="O317" s="102"/>
    </row>
    <row r="318" spans="15:15" s="70" customFormat="1" ht="13.8" x14ac:dyDescent="0.3">
      <c r="O318" s="102"/>
    </row>
    <row r="319" spans="15:15" s="70" customFormat="1" ht="13.8" x14ac:dyDescent="0.3">
      <c r="O319" s="102"/>
    </row>
    <row r="320" spans="15:15" s="70" customFormat="1" ht="13.8" x14ac:dyDescent="0.3">
      <c r="O320" s="102"/>
    </row>
    <row r="321" spans="15:15" s="70" customFormat="1" ht="13.8" x14ac:dyDescent="0.3">
      <c r="O321" s="102"/>
    </row>
    <row r="322" spans="15:15" s="70" customFormat="1" ht="13.8" x14ac:dyDescent="0.3">
      <c r="O322" s="102"/>
    </row>
    <row r="323" spans="15:15" s="70" customFormat="1" ht="13.8" x14ac:dyDescent="0.3">
      <c r="O323" s="102"/>
    </row>
    <row r="324" spans="15:15" s="70" customFormat="1" ht="13.8" x14ac:dyDescent="0.3">
      <c r="O324" s="102"/>
    </row>
    <row r="325" spans="15:15" s="70" customFormat="1" ht="13.8" x14ac:dyDescent="0.3">
      <c r="O325" s="102"/>
    </row>
    <row r="326" spans="15:15" s="70" customFormat="1" ht="13.8" x14ac:dyDescent="0.3">
      <c r="O326" s="102"/>
    </row>
    <row r="327" spans="15:15" s="70" customFormat="1" ht="13.8" x14ac:dyDescent="0.3">
      <c r="O327" s="102"/>
    </row>
    <row r="328" spans="15:15" s="70" customFormat="1" ht="13.8" x14ac:dyDescent="0.3">
      <c r="O328" s="102"/>
    </row>
    <row r="329" spans="15:15" s="70" customFormat="1" ht="13.8" x14ac:dyDescent="0.3">
      <c r="O329" s="102"/>
    </row>
    <row r="330" spans="15:15" s="70" customFormat="1" ht="13.8" x14ac:dyDescent="0.3">
      <c r="O330" s="102"/>
    </row>
    <row r="331" spans="15:15" s="70" customFormat="1" ht="13.8" x14ac:dyDescent="0.3">
      <c r="O331" s="102"/>
    </row>
    <row r="332" spans="15:15" s="70" customFormat="1" ht="13.8" x14ac:dyDescent="0.3">
      <c r="O332" s="102"/>
    </row>
    <row r="333" spans="15:15" s="70" customFormat="1" ht="13.8" x14ac:dyDescent="0.3">
      <c r="O333" s="102"/>
    </row>
    <row r="334" spans="15:15" s="70" customFormat="1" ht="13.8" x14ac:dyDescent="0.3">
      <c r="O334" s="102"/>
    </row>
    <row r="335" spans="15:15" s="70" customFormat="1" ht="13.8" x14ac:dyDescent="0.3">
      <c r="O335" s="102"/>
    </row>
    <row r="336" spans="15:15" s="70" customFormat="1" ht="13.8" x14ac:dyDescent="0.3">
      <c r="O336" s="102"/>
    </row>
    <row r="337" spans="15:15" s="70" customFormat="1" ht="13.8" x14ac:dyDescent="0.3">
      <c r="O337" s="102"/>
    </row>
    <row r="338" spans="15:15" s="70" customFormat="1" ht="13.8" x14ac:dyDescent="0.3">
      <c r="O338" s="102"/>
    </row>
    <row r="339" spans="15:15" s="70" customFormat="1" ht="13.8" x14ac:dyDescent="0.3">
      <c r="O339" s="102"/>
    </row>
    <row r="340" spans="15:15" s="70" customFormat="1" ht="13.8" x14ac:dyDescent="0.3">
      <c r="O340" s="102"/>
    </row>
    <row r="341" spans="15:15" s="70" customFormat="1" ht="13.8" x14ac:dyDescent="0.3">
      <c r="O341" s="102"/>
    </row>
    <row r="342" spans="15:15" s="70" customFormat="1" ht="13.8" x14ac:dyDescent="0.3">
      <c r="O342" s="102"/>
    </row>
    <row r="343" spans="15:15" s="70" customFormat="1" ht="13.8" x14ac:dyDescent="0.3">
      <c r="O343" s="102"/>
    </row>
    <row r="344" spans="15:15" s="70" customFormat="1" ht="13.8" x14ac:dyDescent="0.3">
      <c r="O344" s="102"/>
    </row>
    <row r="345" spans="15:15" s="70" customFormat="1" ht="13.8" x14ac:dyDescent="0.3">
      <c r="O345" s="102"/>
    </row>
    <row r="346" spans="15:15" s="70" customFormat="1" ht="13.8" x14ac:dyDescent="0.3">
      <c r="O346" s="102"/>
    </row>
    <row r="347" spans="15:15" s="70" customFormat="1" ht="13.8" x14ac:dyDescent="0.3">
      <c r="O347" s="102"/>
    </row>
    <row r="348" spans="15:15" s="70" customFormat="1" ht="13.8" x14ac:dyDescent="0.3">
      <c r="O348" s="102"/>
    </row>
    <row r="349" spans="15:15" s="70" customFormat="1" ht="13.8" x14ac:dyDescent="0.3">
      <c r="O349" s="102"/>
    </row>
    <row r="350" spans="15:15" s="70" customFormat="1" ht="13.8" x14ac:dyDescent="0.3">
      <c r="O350" s="102"/>
    </row>
    <row r="351" spans="15:15" s="70" customFormat="1" ht="13.8" x14ac:dyDescent="0.3">
      <c r="O351" s="102"/>
    </row>
    <row r="352" spans="15:15" s="70" customFormat="1" ht="13.8" x14ac:dyDescent="0.3">
      <c r="O352" s="102"/>
    </row>
    <row r="353" spans="15:15" s="70" customFormat="1" ht="13.8" x14ac:dyDescent="0.3">
      <c r="O353" s="102"/>
    </row>
    <row r="354" spans="15:15" s="70" customFormat="1" ht="13.8" x14ac:dyDescent="0.3">
      <c r="O354" s="102"/>
    </row>
    <row r="355" spans="15:15" s="70" customFormat="1" ht="13.8" x14ac:dyDescent="0.3">
      <c r="O355" s="102"/>
    </row>
    <row r="356" spans="15:15" s="70" customFormat="1" ht="13.8" x14ac:dyDescent="0.3">
      <c r="O356" s="102"/>
    </row>
    <row r="357" spans="15:15" s="70" customFormat="1" ht="13.8" x14ac:dyDescent="0.3">
      <c r="O357" s="102"/>
    </row>
    <row r="358" spans="15:15" s="70" customFormat="1" ht="13.8" x14ac:dyDescent="0.3">
      <c r="O358" s="102"/>
    </row>
    <row r="359" spans="15:15" s="70" customFormat="1" ht="13.8" x14ac:dyDescent="0.3">
      <c r="O359" s="102"/>
    </row>
    <row r="360" spans="15:15" s="70" customFormat="1" ht="13.8" x14ac:dyDescent="0.3">
      <c r="O360" s="102"/>
    </row>
    <row r="361" spans="15:15" s="70" customFormat="1" ht="13.8" x14ac:dyDescent="0.3">
      <c r="O361" s="102"/>
    </row>
    <row r="362" spans="15:15" s="70" customFormat="1" ht="13.8" x14ac:dyDescent="0.3">
      <c r="O362" s="102"/>
    </row>
    <row r="363" spans="15:15" s="70" customFormat="1" ht="13.8" x14ac:dyDescent="0.3">
      <c r="O363" s="102"/>
    </row>
    <row r="364" spans="15:15" s="70" customFormat="1" ht="13.8" x14ac:dyDescent="0.3">
      <c r="O364" s="102"/>
    </row>
    <row r="365" spans="15:15" s="70" customFormat="1" ht="13.8" x14ac:dyDescent="0.3">
      <c r="O365" s="102"/>
    </row>
    <row r="366" spans="15:15" s="70" customFormat="1" ht="13.8" x14ac:dyDescent="0.3">
      <c r="O366" s="102"/>
    </row>
    <row r="367" spans="15:15" s="70" customFormat="1" ht="13.8" x14ac:dyDescent="0.3">
      <c r="O367" s="102"/>
    </row>
    <row r="368" spans="15:15" s="70" customFormat="1" ht="13.8" x14ac:dyDescent="0.3">
      <c r="O368" s="102"/>
    </row>
    <row r="369" spans="15:15" s="70" customFormat="1" ht="13.8" x14ac:dyDescent="0.3">
      <c r="O369" s="102"/>
    </row>
    <row r="370" spans="15:15" s="70" customFormat="1" ht="13.8" x14ac:dyDescent="0.3">
      <c r="O370" s="102"/>
    </row>
    <row r="371" spans="15:15" s="70" customFormat="1" ht="13.8" x14ac:dyDescent="0.3">
      <c r="O371" s="102"/>
    </row>
    <row r="372" spans="15:15" s="70" customFormat="1" ht="13.8" x14ac:dyDescent="0.3">
      <c r="O372" s="102"/>
    </row>
    <row r="373" spans="15:15" s="70" customFormat="1" ht="13.8" x14ac:dyDescent="0.3">
      <c r="O373" s="102"/>
    </row>
    <row r="374" spans="15:15" s="70" customFormat="1" ht="13.8" x14ac:dyDescent="0.3">
      <c r="O374" s="102"/>
    </row>
    <row r="375" spans="15:15" s="70" customFormat="1" ht="13.8" x14ac:dyDescent="0.3">
      <c r="O375" s="102"/>
    </row>
    <row r="376" spans="15:15" s="70" customFormat="1" ht="13.8" x14ac:dyDescent="0.3">
      <c r="O376" s="102"/>
    </row>
    <row r="377" spans="15:15" s="70" customFormat="1" ht="13.8" x14ac:dyDescent="0.3">
      <c r="O377" s="102"/>
    </row>
    <row r="378" spans="15:15" s="70" customFormat="1" ht="13.8" x14ac:dyDescent="0.3">
      <c r="O378" s="102"/>
    </row>
    <row r="379" spans="15:15" s="70" customFormat="1" ht="13.8" x14ac:dyDescent="0.3">
      <c r="O379" s="102"/>
    </row>
    <row r="380" spans="15:15" s="70" customFormat="1" ht="13.8" x14ac:dyDescent="0.3">
      <c r="O380" s="102"/>
    </row>
    <row r="381" spans="15:15" s="70" customFormat="1" ht="13.8" x14ac:dyDescent="0.3">
      <c r="O381" s="102"/>
    </row>
    <row r="382" spans="15:15" s="70" customFormat="1" ht="13.8" x14ac:dyDescent="0.3">
      <c r="O382" s="102"/>
    </row>
    <row r="383" spans="15:15" s="70" customFormat="1" ht="13.8" x14ac:dyDescent="0.3">
      <c r="O383" s="102"/>
    </row>
    <row r="384" spans="15:15" s="70" customFormat="1" ht="13.8" x14ac:dyDescent="0.3">
      <c r="O384" s="102"/>
    </row>
    <row r="385" spans="15:15" s="70" customFormat="1" ht="13.8" x14ac:dyDescent="0.3">
      <c r="O385" s="102"/>
    </row>
    <row r="386" spans="15:15" s="70" customFormat="1" ht="13.8" x14ac:dyDescent="0.3">
      <c r="O386" s="102"/>
    </row>
    <row r="387" spans="15:15" s="70" customFormat="1" ht="13.8" x14ac:dyDescent="0.3">
      <c r="O387" s="102"/>
    </row>
    <row r="388" spans="15:15" s="70" customFormat="1" ht="13.8" x14ac:dyDescent="0.3">
      <c r="O388" s="102"/>
    </row>
    <row r="389" spans="15:15" s="70" customFormat="1" ht="13.8" x14ac:dyDescent="0.3">
      <c r="O389" s="102"/>
    </row>
    <row r="390" spans="15:15" s="70" customFormat="1" ht="13.8" x14ac:dyDescent="0.3">
      <c r="O390" s="102"/>
    </row>
    <row r="391" spans="15:15" s="70" customFormat="1" ht="13.8" x14ac:dyDescent="0.3">
      <c r="O391" s="102"/>
    </row>
    <row r="392" spans="15:15" s="70" customFormat="1" ht="13.8" x14ac:dyDescent="0.3">
      <c r="O392" s="102"/>
    </row>
    <row r="393" spans="15:15" s="70" customFormat="1" ht="13.8" x14ac:dyDescent="0.3">
      <c r="O393" s="102"/>
    </row>
    <row r="394" spans="15:15" s="70" customFormat="1" ht="13.8" x14ac:dyDescent="0.3">
      <c r="O394" s="102"/>
    </row>
    <row r="395" spans="15:15" s="70" customFormat="1" ht="13.8" x14ac:dyDescent="0.3">
      <c r="O395" s="102"/>
    </row>
    <row r="396" spans="15:15" s="70" customFormat="1" ht="13.8" x14ac:dyDescent="0.3">
      <c r="O396" s="102"/>
    </row>
    <row r="397" spans="15:15" s="70" customFormat="1" ht="13.8" x14ac:dyDescent="0.3">
      <c r="O397" s="102"/>
    </row>
    <row r="398" spans="15:15" s="70" customFormat="1" ht="13.8" x14ac:dyDescent="0.3">
      <c r="O398" s="102"/>
    </row>
    <row r="399" spans="15:15" s="70" customFormat="1" ht="13.8" x14ac:dyDescent="0.3">
      <c r="O399" s="102"/>
    </row>
    <row r="400" spans="15:15" s="70" customFormat="1" ht="13.8" x14ac:dyDescent="0.3">
      <c r="O400" s="102"/>
    </row>
    <row r="401" spans="15:15" s="70" customFormat="1" ht="13.8" x14ac:dyDescent="0.3">
      <c r="O401" s="102"/>
    </row>
    <row r="402" spans="15:15" s="70" customFormat="1" ht="13.8" x14ac:dyDescent="0.3">
      <c r="O402" s="102"/>
    </row>
    <row r="403" spans="15:15" s="70" customFormat="1" ht="13.8" x14ac:dyDescent="0.3">
      <c r="O403" s="102"/>
    </row>
    <row r="404" spans="15:15" s="70" customFormat="1" ht="13.8" x14ac:dyDescent="0.3">
      <c r="O404" s="102"/>
    </row>
    <row r="405" spans="15:15" s="70" customFormat="1" ht="13.8" x14ac:dyDescent="0.3">
      <c r="O405" s="102"/>
    </row>
    <row r="406" spans="15:15" s="70" customFormat="1" ht="13.8" x14ac:dyDescent="0.3">
      <c r="O406" s="102"/>
    </row>
    <row r="407" spans="15:15" s="70" customFormat="1" ht="13.8" x14ac:dyDescent="0.3">
      <c r="O407" s="102"/>
    </row>
    <row r="408" spans="15:15" s="70" customFormat="1" ht="13.8" x14ac:dyDescent="0.3">
      <c r="O408" s="102"/>
    </row>
    <row r="409" spans="15:15" s="70" customFormat="1" ht="13.8" x14ac:dyDescent="0.3">
      <c r="O409" s="102"/>
    </row>
    <row r="410" spans="15:15" s="70" customFormat="1" ht="13.8" x14ac:dyDescent="0.3">
      <c r="O410" s="102"/>
    </row>
    <row r="411" spans="15:15" s="70" customFormat="1" ht="13.8" x14ac:dyDescent="0.3">
      <c r="O411" s="102"/>
    </row>
    <row r="412" spans="15:15" s="70" customFormat="1" ht="13.8" x14ac:dyDescent="0.3">
      <c r="O412" s="102"/>
    </row>
    <row r="413" spans="15:15" s="70" customFormat="1" ht="13.8" x14ac:dyDescent="0.3">
      <c r="O413" s="102"/>
    </row>
    <row r="414" spans="15:15" s="70" customFormat="1" ht="13.8" x14ac:dyDescent="0.3">
      <c r="O414" s="102"/>
    </row>
    <row r="415" spans="15:15" s="70" customFormat="1" ht="13.8" x14ac:dyDescent="0.3">
      <c r="O415" s="102"/>
    </row>
    <row r="416" spans="15:15" s="70" customFormat="1" ht="13.8" x14ac:dyDescent="0.3">
      <c r="O416" s="102"/>
    </row>
    <row r="417" spans="2:15" s="70" customFormat="1" ht="13.8" x14ac:dyDescent="0.3">
      <c r="O417" s="102"/>
    </row>
    <row r="418" spans="2:15" s="70" customFormat="1" ht="13.8" x14ac:dyDescent="0.3">
      <c r="O418" s="102"/>
    </row>
    <row r="419" spans="2:15" s="70" customFormat="1" ht="13.8" x14ac:dyDescent="0.3">
      <c r="O419" s="102"/>
    </row>
    <row r="420" spans="2:15" s="70" customFormat="1" ht="13.8" x14ac:dyDescent="0.3">
      <c r="O420" s="102"/>
    </row>
    <row r="421" spans="2:15" s="70" customFormat="1" ht="13.8" x14ac:dyDescent="0.3">
      <c r="O421" s="102"/>
    </row>
    <row r="422" spans="2:15" s="70" customFormat="1" ht="13.8" x14ac:dyDescent="0.3">
      <c r="O422" s="102"/>
    </row>
    <row r="423" spans="2:15" s="70" customFormat="1" ht="13.8" x14ac:dyDescent="0.3">
      <c r="O423" s="102"/>
    </row>
    <row r="424" spans="2:15" s="70" customFormat="1" ht="13.8" x14ac:dyDescent="0.3">
      <c r="O424" s="102"/>
    </row>
    <row r="425" spans="2:15" s="70" customFormat="1" ht="13.8" x14ac:dyDescent="0.3">
      <c r="O425" s="102"/>
    </row>
    <row r="426" spans="2:15" s="70" customFormat="1" ht="13.8" x14ac:dyDescent="0.3">
      <c r="O426" s="102"/>
    </row>
    <row r="427" spans="2:15" s="70" customFormat="1" ht="13.8" x14ac:dyDescent="0.3">
      <c r="O427" s="102"/>
    </row>
    <row r="428" spans="2:15" s="70" customFormat="1" ht="13.8" x14ac:dyDescent="0.3">
      <c r="O428" s="102"/>
    </row>
    <row r="429" spans="2:15" s="70" customFormat="1" ht="13.8" x14ac:dyDescent="0.3">
      <c r="O429" s="102"/>
    </row>
    <row r="430" spans="2:15" x14ac:dyDescent="0.3">
      <c r="B430" s="70"/>
      <c r="C430" s="70"/>
      <c r="D430" s="70"/>
      <c r="E430" s="70"/>
      <c r="G430" s="70"/>
      <c r="H430" s="70"/>
      <c r="J430" s="70"/>
      <c r="K430" s="70"/>
      <c r="L430" s="70"/>
      <c r="M430" s="70"/>
    </row>
    <row r="431" spans="2:15" x14ac:dyDescent="0.3">
      <c r="B431" s="70"/>
      <c r="C431" s="70"/>
      <c r="D431" s="70"/>
      <c r="E431" s="70"/>
      <c r="G431" s="70"/>
      <c r="H431" s="70"/>
      <c r="J431" s="70"/>
      <c r="K431" s="70"/>
      <c r="L431" s="70"/>
      <c r="M431" s="70"/>
    </row>
    <row r="432" spans="2:15" x14ac:dyDescent="0.3">
      <c r="B432" s="70"/>
      <c r="C432" s="70"/>
      <c r="D432" s="70"/>
      <c r="E432" s="70"/>
      <c r="G432" s="70"/>
      <c r="H432" s="70"/>
      <c r="J432" s="70"/>
      <c r="K432" s="70"/>
      <c r="L432" s="70"/>
      <c r="M432" s="70"/>
    </row>
    <row r="433" spans="2:13" x14ac:dyDescent="0.3">
      <c r="B433" s="70"/>
      <c r="C433" s="70"/>
      <c r="D433" s="70"/>
      <c r="E433" s="70"/>
      <c r="G433" s="70"/>
      <c r="H433" s="70"/>
      <c r="J433" s="70"/>
      <c r="K433" s="70"/>
      <c r="L433" s="70"/>
      <c r="M433" s="70"/>
    </row>
    <row r="434" spans="2:13" x14ac:dyDescent="0.3">
      <c r="B434" s="70"/>
      <c r="C434" s="70"/>
      <c r="D434" s="70"/>
      <c r="E434" s="70"/>
      <c r="G434" s="70"/>
      <c r="H434" s="70"/>
      <c r="J434" s="70"/>
      <c r="K434" s="70"/>
      <c r="L434" s="70"/>
      <c r="M434" s="70"/>
    </row>
    <row r="435" spans="2:13" x14ac:dyDescent="0.3">
      <c r="B435" s="70"/>
      <c r="C435" s="70"/>
      <c r="D435" s="70"/>
      <c r="E435" s="70"/>
      <c r="G435" s="70"/>
      <c r="H435" s="70"/>
      <c r="J435" s="70"/>
      <c r="K435" s="70"/>
      <c r="L435" s="70"/>
      <c r="M435" s="70"/>
    </row>
    <row r="436" spans="2:13" x14ac:dyDescent="0.3">
      <c r="B436" s="70"/>
      <c r="C436" s="70"/>
      <c r="D436" s="70"/>
      <c r="E436" s="70"/>
      <c r="G436" s="70"/>
      <c r="H436" s="70"/>
      <c r="J436" s="70"/>
      <c r="K436" s="70"/>
      <c r="L436" s="70"/>
      <c r="M436" s="70"/>
    </row>
    <row r="437" spans="2:13" x14ac:dyDescent="0.3">
      <c r="B437" s="70"/>
      <c r="C437" s="70"/>
      <c r="D437" s="70"/>
      <c r="E437" s="70"/>
      <c r="G437" s="70"/>
      <c r="H437" s="70"/>
      <c r="J437" s="70"/>
      <c r="K437" s="70"/>
      <c r="L437" s="70"/>
      <c r="M437" s="70"/>
    </row>
    <row r="438" spans="2:13" x14ac:dyDescent="0.3">
      <c r="B438" s="70"/>
      <c r="C438" s="70"/>
      <c r="D438" s="70"/>
      <c r="E438" s="70"/>
      <c r="G438" s="70"/>
      <c r="H438" s="70"/>
      <c r="J438" s="70"/>
      <c r="K438" s="70"/>
      <c r="L438" s="70"/>
      <c r="M438" s="70"/>
    </row>
    <row r="439" spans="2:13" x14ac:dyDescent="0.3">
      <c r="B439" s="70"/>
      <c r="C439" s="70"/>
      <c r="D439" s="70"/>
      <c r="E439" s="70"/>
      <c r="G439" s="70"/>
      <c r="H439" s="70"/>
      <c r="J439" s="70"/>
      <c r="K439" s="70"/>
      <c r="L439" s="70"/>
      <c r="M439" s="70"/>
    </row>
    <row r="440" spans="2:13" x14ac:dyDescent="0.3">
      <c r="B440" s="70"/>
      <c r="C440" s="70"/>
      <c r="D440" s="70"/>
      <c r="E440" s="70"/>
      <c r="G440" s="70"/>
      <c r="H440" s="70"/>
      <c r="J440" s="70"/>
      <c r="K440" s="70"/>
      <c r="L440" s="70"/>
      <c r="M440" s="70"/>
    </row>
    <row r="441" spans="2:13" x14ac:dyDescent="0.3">
      <c r="B441" s="70"/>
      <c r="C441" s="70"/>
      <c r="D441" s="70"/>
      <c r="E441" s="70"/>
      <c r="G441" s="70"/>
      <c r="H441" s="70"/>
      <c r="J441" s="70"/>
      <c r="K441" s="70"/>
      <c r="L441" s="70"/>
      <c r="M441" s="70"/>
    </row>
    <row r="442" spans="2:13" x14ac:dyDescent="0.3">
      <c r="B442" s="70"/>
      <c r="C442" s="70"/>
      <c r="D442" s="70"/>
      <c r="E442" s="70"/>
      <c r="G442" s="70"/>
      <c r="H442" s="70"/>
      <c r="J442" s="70"/>
      <c r="K442" s="70"/>
      <c r="L442" s="70"/>
      <c r="M442" s="70"/>
    </row>
    <row r="443" spans="2:13" x14ac:dyDescent="0.3">
      <c r="B443" s="70"/>
      <c r="C443" s="70"/>
      <c r="D443" s="70"/>
      <c r="E443" s="70"/>
      <c r="G443" s="70"/>
      <c r="H443" s="70"/>
      <c r="J443" s="70"/>
      <c r="K443" s="70"/>
      <c r="L443" s="70"/>
      <c r="M443" s="70"/>
    </row>
    <row r="444" spans="2:13" x14ac:dyDescent="0.3">
      <c r="B444" s="70"/>
      <c r="C444" s="70"/>
      <c r="D444" s="70"/>
      <c r="E444" s="70"/>
      <c r="G444" s="70"/>
      <c r="H444" s="70"/>
      <c r="J444" s="70"/>
      <c r="K444" s="70"/>
      <c r="L444" s="70"/>
      <c r="M444" s="70"/>
    </row>
    <row r="445" spans="2:13" x14ac:dyDescent="0.3">
      <c r="B445" s="70"/>
      <c r="C445" s="70"/>
      <c r="D445" s="70"/>
      <c r="E445" s="70"/>
      <c r="G445" s="70"/>
      <c r="H445" s="70"/>
      <c r="J445" s="70"/>
      <c r="K445" s="70"/>
      <c r="L445" s="70"/>
      <c r="M445" s="70"/>
    </row>
    <row r="446" spans="2:13" x14ac:dyDescent="0.3">
      <c r="B446" s="70"/>
      <c r="C446" s="70"/>
      <c r="D446" s="70"/>
      <c r="E446" s="70"/>
      <c r="G446" s="70"/>
      <c r="H446" s="70"/>
      <c r="J446" s="70"/>
      <c r="K446" s="70"/>
      <c r="L446" s="70"/>
      <c r="M446" s="70"/>
    </row>
    <row r="447" spans="2:13" x14ac:dyDescent="0.3">
      <c r="B447" s="70"/>
      <c r="C447" s="70"/>
      <c r="D447" s="70"/>
      <c r="E447" s="70"/>
      <c r="G447" s="70"/>
      <c r="H447" s="70"/>
      <c r="J447" s="70"/>
      <c r="K447" s="70"/>
      <c r="L447" s="70"/>
      <c r="M447" s="70"/>
    </row>
    <row r="448" spans="2:13" x14ac:dyDescent="0.3">
      <c r="B448" s="70"/>
      <c r="C448" s="70"/>
      <c r="D448" s="70"/>
      <c r="E448" s="70"/>
      <c r="G448" s="70"/>
      <c r="H448" s="70"/>
      <c r="J448" s="70"/>
      <c r="K448" s="70"/>
      <c r="L448" s="70"/>
      <c r="M448" s="70"/>
    </row>
    <row r="449" spans="2:13" x14ac:dyDescent="0.3">
      <c r="B449" s="70"/>
      <c r="C449" s="70"/>
      <c r="D449" s="70"/>
      <c r="E449" s="70"/>
      <c r="G449" s="70"/>
      <c r="H449" s="70"/>
      <c r="J449" s="70"/>
      <c r="K449" s="70"/>
      <c r="L449" s="70"/>
      <c r="M449" s="70"/>
    </row>
    <row r="450" spans="2:13" x14ac:dyDescent="0.3">
      <c r="B450" s="70"/>
      <c r="C450" s="70"/>
      <c r="D450" s="70"/>
      <c r="E450" s="70"/>
      <c r="G450" s="70"/>
      <c r="H450" s="70"/>
      <c r="J450" s="70"/>
      <c r="K450" s="70"/>
      <c r="L450" s="70"/>
      <c r="M450" s="70"/>
    </row>
    <row r="451" spans="2:13" x14ac:dyDescent="0.3">
      <c r="B451" s="70"/>
      <c r="C451" s="70"/>
      <c r="D451" s="70"/>
      <c r="E451" s="70"/>
      <c r="G451" s="70"/>
      <c r="H451" s="70"/>
      <c r="J451" s="70"/>
      <c r="K451" s="70"/>
      <c r="L451" s="70"/>
      <c r="M451" s="70"/>
    </row>
    <row r="452" spans="2:13" x14ac:dyDescent="0.3">
      <c r="B452" s="70"/>
      <c r="C452" s="70"/>
      <c r="D452" s="70"/>
      <c r="E452" s="70"/>
      <c r="G452" s="70"/>
      <c r="H452" s="70"/>
      <c r="J452" s="70"/>
      <c r="K452" s="70"/>
      <c r="L452" s="70"/>
      <c r="M452" s="70"/>
    </row>
    <row r="453" spans="2:13" x14ac:dyDescent="0.3">
      <c r="B453" s="70"/>
      <c r="C453" s="70"/>
      <c r="D453" s="70"/>
      <c r="E453" s="70"/>
      <c r="G453" s="70"/>
      <c r="H453" s="70"/>
      <c r="J453" s="70"/>
      <c r="K453" s="70"/>
      <c r="L453" s="70"/>
      <c r="M453" s="70"/>
    </row>
    <row r="454" spans="2:13" x14ac:dyDescent="0.3">
      <c r="B454" s="70"/>
      <c r="C454" s="70"/>
      <c r="D454" s="70"/>
      <c r="E454" s="70"/>
      <c r="G454" s="70"/>
      <c r="H454" s="70"/>
      <c r="J454" s="70"/>
      <c r="K454" s="70"/>
      <c r="L454" s="70"/>
      <c r="M454" s="70"/>
    </row>
    <row r="455" spans="2:13" x14ac:dyDescent="0.3">
      <c r="B455" s="70"/>
      <c r="C455" s="70"/>
      <c r="D455" s="70"/>
      <c r="E455" s="70"/>
      <c r="G455" s="70"/>
      <c r="H455" s="70"/>
      <c r="J455" s="70"/>
      <c r="K455" s="70"/>
      <c r="L455" s="70"/>
      <c r="M455" s="70"/>
    </row>
    <row r="456" spans="2:13" x14ac:dyDescent="0.3">
      <c r="B456" s="70"/>
      <c r="C456" s="70"/>
      <c r="D456" s="70"/>
      <c r="E456" s="70"/>
      <c r="G456" s="70"/>
      <c r="H456" s="70"/>
      <c r="J456" s="70"/>
      <c r="K456" s="70"/>
      <c r="L456" s="70"/>
      <c r="M456" s="70"/>
    </row>
    <row r="457" spans="2:13" x14ac:dyDescent="0.3">
      <c r="B457" s="70"/>
      <c r="C457" s="70"/>
      <c r="D457" s="70"/>
      <c r="E457" s="70"/>
      <c r="G457" s="70"/>
      <c r="H457" s="70"/>
      <c r="J457" s="70"/>
      <c r="K457" s="70"/>
      <c r="L457" s="70"/>
      <c r="M457" s="70"/>
    </row>
    <row r="458" spans="2:13" x14ac:dyDescent="0.3">
      <c r="B458" s="70"/>
      <c r="C458" s="70"/>
      <c r="D458" s="70"/>
      <c r="E458" s="70"/>
      <c r="G458" s="70"/>
      <c r="H458" s="70"/>
      <c r="J458" s="70"/>
      <c r="K458" s="70"/>
      <c r="L458" s="70"/>
      <c r="M458" s="70"/>
    </row>
    <row r="459" spans="2:13" x14ac:dyDescent="0.3">
      <c r="B459" s="70"/>
      <c r="C459" s="70"/>
      <c r="D459" s="70"/>
      <c r="E459" s="70"/>
      <c r="G459" s="70"/>
      <c r="H459" s="70"/>
      <c r="J459" s="70"/>
      <c r="K459" s="70"/>
      <c r="L459" s="70"/>
      <c r="M459" s="70"/>
    </row>
    <row r="460" spans="2:13" x14ac:dyDescent="0.3">
      <c r="B460" s="70"/>
      <c r="C460" s="70"/>
      <c r="D460" s="70"/>
      <c r="E460" s="70"/>
      <c r="G460" s="70"/>
      <c r="H460" s="70"/>
      <c r="J460" s="70"/>
      <c r="K460" s="70"/>
      <c r="L460" s="70"/>
      <c r="M460" s="70"/>
    </row>
    <row r="461" spans="2:13" x14ac:dyDescent="0.3">
      <c r="B461" s="70"/>
      <c r="C461" s="70"/>
      <c r="D461" s="70"/>
      <c r="E461" s="70"/>
      <c r="G461" s="70"/>
      <c r="H461" s="70"/>
      <c r="J461" s="70"/>
      <c r="K461" s="70"/>
      <c r="L461" s="70"/>
      <c r="M461" s="70"/>
    </row>
    <row r="462" spans="2:13" x14ac:dyDescent="0.3">
      <c r="B462" s="70"/>
      <c r="C462" s="70"/>
      <c r="D462" s="70"/>
      <c r="E462" s="70"/>
      <c r="G462" s="70"/>
      <c r="H462" s="70"/>
      <c r="J462" s="70"/>
      <c r="K462" s="70"/>
      <c r="L462" s="70"/>
      <c r="M462" s="70"/>
    </row>
    <row r="463" spans="2:13" x14ac:dyDescent="0.3">
      <c r="B463" s="70"/>
      <c r="C463" s="70"/>
      <c r="D463" s="70"/>
      <c r="E463" s="70"/>
      <c r="G463" s="70"/>
      <c r="H463" s="70"/>
      <c r="J463" s="70"/>
      <c r="K463" s="70"/>
      <c r="L463" s="70"/>
      <c r="M463" s="70"/>
    </row>
    <row r="464" spans="2:13" x14ac:dyDescent="0.3">
      <c r="B464" s="70"/>
      <c r="C464" s="70"/>
      <c r="D464" s="70"/>
      <c r="E464" s="70"/>
      <c r="G464" s="70"/>
      <c r="H464" s="70"/>
      <c r="J464" s="70"/>
      <c r="K464" s="70"/>
      <c r="L464" s="70"/>
      <c r="M464" s="70"/>
    </row>
    <row r="465" spans="2:13" x14ac:dyDescent="0.3">
      <c r="B465" s="70"/>
      <c r="C465" s="70"/>
      <c r="D465" s="70"/>
      <c r="E465" s="70"/>
      <c r="G465" s="70"/>
      <c r="H465" s="70"/>
      <c r="J465" s="70"/>
      <c r="K465" s="70"/>
      <c r="L465" s="70"/>
      <c r="M465" s="70"/>
    </row>
    <row r="466" spans="2:13" x14ac:dyDescent="0.3">
      <c r="G466" s="70"/>
      <c r="H466" s="70"/>
      <c r="J466" s="70"/>
      <c r="K466" s="70"/>
      <c r="L466" s="70"/>
      <c r="M466" s="70"/>
    </row>
    <row r="467" spans="2:13" x14ac:dyDescent="0.3">
      <c r="G467" s="70"/>
      <c r="H467" s="70"/>
      <c r="J467" s="70"/>
      <c r="K467" s="70"/>
      <c r="L467" s="70"/>
      <c r="M467" s="70"/>
    </row>
    <row r="468" spans="2:13" x14ac:dyDescent="0.3">
      <c r="G468" s="70"/>
      <c r="H468" s="70"/>
      <c r="J468" s="70"/>
      <c r="K468" s="70"/>
      <c r="L468" s="70"/>
      <c r="M468" s="70"/>
    </row>
    <row r="469" spans="2:13" x14ac:dyDescent="0.3">
      <c r="G469" s="70"/>
      <c r="H469" s="70"/>
      <c r="J469" s="70"/>
      <c r="K469" s="70"/>
      <c r="L469" s="70"/>
      <c r="M469" s="70"/>
    </row>
    <row r="470" spans="2:13" x14ac:dyDescent="0.3">
      <c r="G470" s="70"/>
      <c r="H470" s="70"/>
      <c r="J470" s="70"/>
      <c r="K470" s="70"/>
      <c r="L470" s="70"/>
      <c r="M470" s="70"/>
    </row>
    <row r="471" spans="2:13" x14ac:dyDescent="0.3">
      <c r="G471" s="70"/>
      <c r="H471" s="70"/>
      <c r="J471" s="70"/>
      <c r="K471" s="70"/>
      <c r="L471" s="70"/>
      <c r="M471" s="70"/>
    </row>
    <row r="472" spans="2:13" x14ac:dyDescent="0.3">
      <c r="G472" s="70"/>
      <c r="H472" s="70"/>
      <c r="J472" s="70"/>
      <c r="K472" s="70"/>
      <c r="L472" s="70"/>
      <c r="M472" s="70"/>
    </row>
    <row r="473" spans="2:13" x14ac:dyDescent="0.3">
      <c r="G473" s="70"/>
      <c r="H473" s="70"/>
      <c r="J473" s="70"/>
      <c r="K473" s="70"/>
      <c r="L473" s="70"/>
      <c r="M473" s="70"/>
    </row>
    <row r="474" spans="2:13" x14ac:dyDescent="0.3">
      <c r="G474" s="70"/>
      <c r="H474" s="70"/>
      <c r="J474" s="70"/>
      <c r="K474" s="70"/>
      <c r="L474" s="70"/>
      <c r="M474" s="70"/>
    </row>
    <row r="475" spans="2:13" x14ac:dyDescent="0.3">
      <c r="G475" s="70"/>
      <c r="H475" s="70"/>
      <c r="J475" s="70"/>
      <c r="K475" s="70"/>
      <c r="L475" s="70"/>
      <c r="M475" s="70"/>
    </row>
    <row r="476" spans="2:13" x14ac:dyDescent="0.3">
      <c r="G476" s="70"/>
      <c r="H476" s="70"/>
      <c r="J476" s="70"/>
      <c r="K476" s="70"/>
      <c r="L476" s="70"/>
      <c r="M476" s="70"/>
    </row>
    <row r="477" spans="2:13" x14ac:dyDescent="0.3">
      <c r="G477" s="70"/>
      <c r="H477" s="70"/>
      <c r="J477" s="70"/>
      <c r="K477" s="70"/>
      <c r="L477" s="70"/>
      <c r="M477" s="70"/>
    </row>
    <row r="478" spans="2:13" x14ac:dyDescent="0.3">
      <c r="G478" s="70"/>
      <c r="H478" s="70"/>
      <c r="J478" s="70"/>
      <c r="K478" s="70"/>
      <c r="L478" s="70"/>
      <c r="M478" s="70"/>
    </row>
    <row r="479" spans="2:13" x14ac:dyDescent="0.3">
      <c r="G479" s="70"/>
      <c r="H479" s="70"/>
      <c r="J479" s="70"/>
      <c r="K479" s="70"/>
      <c r="L479" s="70"/>
      <c r="M479" s="70"/>
    </row>
    <row r="480" spans="2:13" x14ac:dyDescent="0.3">
      <c r="G480" s="70"/>
      <c r="H480" s="70"/>
      <c r="J480" s="70"/>
      <c r="K480" s="70"/>
      <c r="L480" s="70"/>
      <c r="M480" s="70"/>
    </row>
    <row r="481" spans="7:13" x14ac:dyDescent="0.3">
      <c r="G481" s="70"/>
      <c r="H481" s="70"/>
      <c r="J481" s="70"/>
      <c r="K481" s="70"/>
      <c r="L481" s="70"/>
      <c r="M481" s="70"/>
    </row>
    <row r="482" spans="7:13" x14ac:dyDescent="0.3">
      <c r="G482" s="70"/>
      <c r="H482" s="70"/>
      <c r="J482" s="70"/>
      <c r="K482" s="70"/>
      <c r="L482" s="70"/>
      <c r="M482" s="70"/>
    </row>
    <row r="483" spans="7:13" x14ac:dyDescent="0.3">
      <c r="G483" s="70"/>
      <c r="H483" s="70"/>
      <c r="J483" s="70"/>
      <c r="K483" s="70"/>
      <c r="L483" s="70"/>
      <c r="M483" s="70"/>
    </row>
    <row r="484" spans="7:13" x14ac:dyDescent="0.3">
      <c r="G484" s="70"/>
      <c r="H484" s="70"/>
      <c r="J484" s="70"/>
      <c r="K484" s="70"/>
      <c r="L484" s="70"/>
      <c r="M484" s="70"/>
    </row>
    <row r="485" spans="7:13" x14ac:dyDescent="0.3">
      <c r="G485" s="70"/>
      <c r="H485" s="70"/>
      <c r="J485" s="70"/>
      <c r="K485" s="70"/>
      <c r="L485" s="70"/>
      <c r="M485" s="70"/>
    </row>
    <row r="486" spans="7:13" x14ac:dyDescent="0.3">
      <c r="G486" s="70"/>
      <c r="H486" s="70"/>
      <c r="J486" s="70"/>
      <c r="K486" s="70"/>
      <c r="L486" s="70"/>
      <c r="M486" s="70"/>
    </row>
    <row r="487" spans="7:13" x14ac:dyDescent="0.3">
      <c r="G487" s="70"/>
      <c r="H487" s="70"/>
      <c r="J487" s="70"/>
      <c r="K487" s="70"/>
      <c r="L487" s="70"/>
      <c r="M487" s="70"/>
    </row>
  </sheetData>
  <mergeCells count="4">
    <mergeCell ref="B3:I3"/>
    <mergeCell ref="B14:C14"/>
    <mergeCell ref="B1:I1"/>
    <mergeCell ref="B2:I2"/>
  </mergeCells>
  <conditionalFormatting sqref="M6:M135">
    <cfRule type="expression" dxfId="32" priority="5">
      <formula>M6&lt;0</formula>
    </cfRule>
  </conditionalFormatting>
  <conditionalFormatting sqref="L6">
    <cfRule type="expression" dxfId="31" priority="3">
      <formula>L6&lt;0</formula>
    </cfRule>
  </conditionalFormatting>
  <conditionalFormatting sqref="L132:L135">
    <cfRule type="expression" dxfId="30" priority="1">
      <formula>L132&lt;0</formula>
    </cfRule>
  </conditionalFormatting>
  <dataValidations count="2">
    <dataValidation type="list" allowBlank="1" showInputMessage="1" showErrorMessage="1" sqref="J6:J131" xr:uid="{00000000-0002-0000-0800-000000000000}">
      <formula1>CategoryLookup</formula1>
    </dataValidation>
    <dataValidation type="list" allowBlank="1" showInputMessage="1" showErrorMessage="1" sqref="J132:J135" xr:uid="{00000000-0002-0000-0800-000001000000}">
      <formula1>Category</formula1>
    </dataValidation>
  </dataValidations>
  <pageMargins left="0.7" right="0.7" top="0.75" bottom="0.75" header="0.3" footer="0.3"/>
  <pageSetup scale="48" fitToHeight="0" orientation="landscape" r:id="rId1"/>
  <drawing r:id="rId2"/>
  <tableParts count="2">
    <tablePart r:id="rId3"/>
    <tablePart r:id="rId4"/>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030A0"/>
  </sheetPr>
  <dimension ref="A1:H47"/>
  <sheetViews>
    <sheetView workbookViewId="0">
      <selection activeCell="K11" sqref="K11"/>
    </sheetView>
  </sheetViews>
  <sheetFormatPr defaultRowHeight="13.8" x14ac:dyDescent="0.3"/>
  <cols>
    <col min="1" max="1" width="22.109375" bestFit="1" customWidth="1"/>
    <col min="2" max="2" width="15.44140625" customWidth="1"/>
    <col min="3" max="3" width="12.109375" customWidth="1"/>
    <col min="4" max="4" width="10.88671875" style="29" bestFit="1" customWidth="1"/>
    <col min="6" max="6" width="12.6640625" style="29" customWidth="1"/>
    <col min="7" max="7" width="8.88671875" style="29"/>
    <col min="8" max="8" width="14.33203125" style="29" customWidth="1"/>
  </cols>
  <sheetData>
    <row r="1" spans="1:8" ht="16.8" x14ac:dyDescent="0.4">
      <c r="A1" s="564" t="s">
        <v>18</v>
      </c>
      <c r="B1" s="564"/>
    </row>
    <row r="2" spans="1:8" x14ac:dyDescent="0.3">
      <c r="A2" s="6" t="s">
        <v>4</v>
      </c>
      <c r="B2" s="10" t="s">
        <v>0</v>
      </c>
      <c r="C2" s="6" t="s">
        <v>75</v>
      </c>
      <c r="D2" s="30" t="s">
        <v>76</v>
      </c>
      <c r="F2" s="29" t="s">
        <v>77</v>
      </c>
      <c r="G2" s="29" t="s">
        <v>78</v>
      </c>
      <c r="H2" s="29" t="s">
        <v>14</v>
      </c>
    </row>
    <row r="3" spans="1:8" x14ac:dyDescent="0.3">
      <c r="A3" s="6" t="s">
        <v>5</v>
      </c>
      <c r="B3" s="14">
        <f>SUMIF(MyTransactions[Category],"=" &amp;CategoryTable6[[#This Row],[Category]],MyTransactions[Deposit])</f>
        <v>13082.2</v>
      </c>
      <c r="C3" s="28">
        <v>12900</v>
      </c>
      <c r="D3" s="30">
        <f>+CategoryTable6[[#This Row],[Budget]]-CategoryTable6[[#This Row],[Total]]</f>
        <v>-182.20000000000073</v>
      </c>
    </row>
    <row r="4" spans="1:8" x14ac:dyDescent="0.3">
      <c r="A4" s="6" t="s">
        <v>32</v>
      </c>
      <c r="B4" s="14">
        <f>SUMIF(MyTransactions[Category],"=" &amp;CategoryTable6[[#This Row],[Category]],MyTransactions[Withdrawal])</f>
        <v>27</v>
      </c>
      <c r="C4" s="28">
        <v>600</v>
      </c>
      <c r="D4" s="30">
        <f>+CategoryTable6[[#This Row],[Budget]]-CategoryTable6[[#This Row],[Total]]</f>
        <v>573</v>
      </c>
      <c r="H4" s="29">
        <f>+CategoryTable6[[#This Row],[Total]]</f>
        <v>27</v>
      </c>
    </row>
    <row r="5" spans="1:8" x14ac:dyDescent="0.3">
      <c r="A5" s="6" t="s">
        <v>570</v>
      </c>
      <c r="B5" s="14">
        <v>0</v>
      </c>
      <c r="C5" s="28">
        <v>0</v>
      </c>
      <c r="D5" s="30">
        <v>0</v>
      </c>
      <c r="G5" s="29">
        <f>+CategoryTable6[[#This Row],[Total]]</f>
        <v>0</v>
      </c>
    </row>
    <row r="6" spans="1:8" x14ac:dyDescent="0.3">
      <c r="A6" s="6" t="s">
        <v>33</v>
      </c>
      <c r="B6" s="14">
        <f>SUMIF(MyTransactions[Category],"=" &amp;CategoryTable6[[#This Row],[Category]],MyTransactions[Withdrawal])</f>
        <v>0</v>
      </c>
      <c r="C6" s="28">
        <v>1100</v>
      </c>
      <c r="D6" s="30">
        <f>+CategoryTable6[[#This Row],[Budget]]-CategoryTable6[[#This Row],[Total]]</f>
        <v>1100</v>
      </c>
      <c r="G6" s="29">
        <f>-CategoryTable6[[#This Row],[Total]]</f>
        <v>0</v>
      </c>
    </row>
    <row r="7" spans="1:8" x14ac:dyDescent="0.3">
      <c r="A7" s="6" t="s">
        <v>34</v>
      </c>
      <c r="B7" s="14">
        <f>SUMIF(MyTransactions[Category],"=" &amp;CategoryTable6[[#This Row],[Category]],MyTransactions[Withdrawal])</f>
        <v>518.01</v>
      </c>
      <c r="C7" s="28">
        <v>1700</v>
      </c>
      <c r="D7" s="30">
        <f>+CategoryTable6[[#This Row],[Budget]]-CategoryTable6[[#This Row],[Total]]</f>
        <v>1181.99</v>
      </c>
      <c r="H7" s="29">
        <f>-CategoryTable6[[#This Row],[Total]]</f>
        <v>-518.01</v>
      </c>
    </row>
    <row r="8" spans="1:8" x14ac:dyDescent="0.3">
      <c r="A8" s="6" t="s">
        <v>35</v>
      </c>
      <c r="B8" s="14">
        <f>SUMIF(MyTransactions[Category],"=" &amp;CategoryTable6[[#This Row],[Category]],MyTransactions[Withdrawal])</f>
        <v>0</v>
      </c>
      <c r="C8" s="28">
        <v>600</v>
      </c>
      <c r="D8" s="30">
        <f>+CategoryTable6[[#This Row],[Budget]]-CategoryTable6[[#This Row],[Total]]</f>
        <v>600</v>
      </c>
      <c r="H8" s="29">
        <f>-CategoryTable6[[#This Row],[Total]]</f>
        <v>0</v>
      </c>
    </row>
    <row r="9" spans="1:8" x14ac:dyDescent="0.3">
      <c r="A9" s="6" t="s">
        <v>36</v>
      </c>
      <c r="B9" s="14">
        <f>SUMIF(MyTransactions[Category],"=" &amp;CategoryTable6[[#This Row],[Category]],MyTransactions[Withdrawal])</f>
        <v>47</v>
      </c>
      <c r="C9" s="28">
        <v>3000</v>
      </c>
      <c r="D9" s="30">
        <f>+CategoryTable6[[#This Row],[Budget]]-CategoryTable6[[#This Row],[Total]]</f>
        <v>2953</v>
      </c>
      <c r="H9" s="29">
        <f>-CategoryTable6[[#This Row],[Total]]</f>
        <v>-47</v>
      </c>
    </row>
    <row r="10" spans="1:8" x14ac:dyDescent="0.3">
      <c r="A10" s="6" t="s">
        <v>37</v>
      </c>
      <c r="B10" s="14">
        <f>SUMIF(MyTransactions[Category],"=" &amp;CategoryTable6[[#This Row],[Category]],MyTransactions[Withdrawal])</f>
        <v>0</v>
      </c>
      <c r="C10" s="28">
        <v>25</v>
      </c>
      <c r="D10" s="30">
        <f>+CategoryTable6[[#This Row],[Budget]]-CategoryTable6[[#This Row],[Total]]</f>
        <v>25</v>
      </c>
      <c r="H10" s="29">
        <f>-CategoryTable6[[#This Row],[Total]]</f>
        <v>0</v>
      </c>
    </row>
    <row r="11" spans="1:8" x14ac:dyDescent="0.3">
      <c r="A11" s="6" t="s">
        <v>38</v>
      </c>
      <c r="B11" s="14">
        <f>SUMIF(MyTransactions[Category],"=" &amp;CategoryTable6[[#This Row],[Category]],MyTransactions[Withdrawal])</f>
        <v>0</v>
      </c>
      <c r="C11" s="28">
        <v>500</v>
      </c>
      <c r="D11" s="30">
        <f>+CategoryTable6[[#This Row],[Budget]]-CategoryTable6[[#This Row],[Total]]</f>
        <v>500</v>
      </c>
      <c r="H11" s="29">
        <f>-CategoryTable6[[#This Row],[Total]]</f>
        <v>0</v>
      </c>
    </row>
    <row r="12" spans="1:8" x14ac:dyDescent="0.3">
      <c r="A12" s="6" t="s">
        <v>39</v>
      </c>
      <c r="B12" s="14">
        <f>SUMIF(MyTransactions[Category],"=" &amp;CategoryTable6[[#This Row],[Category]],MyTransactions[Withdrawal])</f>
        <v>347.76</v>
      </c>
      <c r="C12" s="28">
        <v>400</v>
      </c>
      <c r="D12" s="30">
        <f>+CategoryTable6[[#This Row],[Budget]]-CategoryTable6[[#This Row],[Total]]</f>
        <v>52.240000000000009</v>
      </c>
      <c r="H12" s="29">
        <f>-CategoryTable6[[#This Row],[Total]]</f>
        <v>-347.76</v>
      </c>
    </row>
    <row r="13" spans="1:8" x14ac:dyDescent="0.3">
      <c r="A13" s="6" t="s">
        <v>40</v>
      </c>
      <c r="B13" s="14">
        <f>SUMIF(MyTransactions[Category],"=" &amp;CategoryTable6[[#This Row],[Category]],MyTransactions[Withdrawal])</f>
        <v>161.91999999999999</v>
      </c>
      <c r="C13" s="28">
        <v>450</v>
      </c>
      <c r="D13" s="30">
        <f>+CategoryTable6[[#This Row],[Budget]]-CategoryTable6[[#This Row],[Total]]</f>
        <v>288.08000000000004</v>
      </c>
      <c r="H13" s="29">
        <f>-CategoryTable6[[#This Row],[Total]]</f>
        <v>-161.91999999999999</v>
      </c>
    </row>
    <row r="14" spans="1:8" x14ac:dyDescent="0.3">
      <c r="A14" s="6" t="s">
        <v>41</v>
      </c>
      <c r="B14" s="14">
        <f>SUMIF(MyTransactions[Category],"=" &amp;CategoryTable6[[#This Row],[Category]],MyTransactions[Withdrawal])</f>
        <v>180</v>
      </c>
      <c r="C14" s="28">
        <v>180</v>
      </c>
      <c r="D14" s="30">
        <f>+CategoryTable6[[#This Row],[Budget]]-CategoryTable6[[#This Row],[Total]]</f>
        <v>0</v>
      </c>
      <c r="H14" s="29">
        <f>-CategoryTable6[[#This Row],[Total]]</f>
        <v>-180</v>
      </c>
    </row>
    <row r="15" spans="1:8" x14ac:dyDescent="0.3">
      <c r="A15" s="6" t="s">
        <v>42</v>
      </c>
      <c r="B15" s="14">
        <f>SUMIF(MyTransactions[Category],"=" &amp;CategoryTable6[[#This Row],[Category]],MyTransactions[Withdrawal])</f>
        <v>0</v>
      </c>
      <c r="C15" s="28">
        <v>132</v>
      </c>
      <c r="D15" s="30">
        <f>+CategoryTable6[[#This Row],[Budget]]-CategoryTable6[[#This Row],[Total]]</f>
        <v>132</v>
      </c>
      <c r="H15" s="29">
        <f>-CategoryTable6[[#This Row],[Total]]</f>
        <v>0</v>
      </c>
    </row>
    <row r="16" spans="1:8" x14ac:dyDescent="0.3">
      <c r="A16" s="6" t="s">
        <v>43</v>
      </c>
      <c r="B16" s="14">
        <f>SUMIF(MyTransactions[Category],"=" &amp;CategoryTable6[[#This Row],[Category]],MyTransactions[Withdrawal])</f>
        <v>250</v>
      </c>
      <c r="C16" s="28">
        <v>300</v>
      </c>
      <c r="D16" s="30">
        <f>+CategoryTable6[[#This Row],[Budget]]-CategoryTable6[[#This Row],[Total]]</f>
        <v>50</v>
      </c>
      <c r="H16" s="29">
        <f>-CategoryTable6[[#This Row],[Total]]</f>
        <v>-250</v>
      </c>
    </row>
    <row r="17" spans="1:8" x14ac:dyDescent="0.3">
      <c r="A17" s="6" t="s">
        <v>44</v>
      </c>
      <c r="B17" s="14">
        <f>SUMIF(MyTransactions[Category],"=" &amp;CategoryTable6[[#This Row],[Category]],MyTransactions[Withdrawal])</f>
        <v>347.2</v>
      </c>
      <c r="C17" s="28">
        <v>50</v>
      </c>
      <c r="D17" s="30">
        <f>+CategoryTable6[[#This Row],[Budget]]-CategoryTable6[[#This Row],[Total]]</f>
        <v>-297.2</v>
      </c>
      <c r="H17" s="29">
        <f>-CategoryTable6[[#This Row],[Total]]</f>
        <v>-347.2</v>
      </c>
    </row>
    <row r="18" spans="1:8" x14ac:dyDescent="0.3">
      <c r="A18" s="6" t="s">
        <v>45</v>
      </c>
      <c r="B18" s="14">
        <f>SUMIF(MyTransactions[Category],"=" &amp;CategoryTable6[[#This Row],[Category]],MyTransactions[Withdrawal])</f>
        <v>58</v>
      </c>
      <c r="C18" s="28">
        <v>68</v>
      </c>
      <c r="D18" s="30">
        <f>+CategoryTable6[[#This Row],[Budget]]-CategoryTable6[[#This Row],[Total]]</f>
        <v>10</v>
      </c>
      <c r="H18" s="29">
        <f>-CategoryTable6[[#This Row],[Total]]</f>
        <v>-58</v>
      </c>
    </row>
    <row r="19" spans="1:8" x14ac:dyDescent="0.3">
      <c r="A19" s="6" t="s">
        <v>46</v>
      </c>
      <c r="B19" s="14">
        <f>SUMIF(MyTransactions[Category],"=" &amp;CategoryTable6[[#This Row],[Category]],MyTransactions[Withdrawal])</f>
        <v>1265</v>
      </c>
      <c r="C19" s="28">
        <v>440</v>
      </c>
      <c r="D19" s="30">
        <f>+CategoryTable6[[#This Row],[Budget]]-CategoryTable6[[#This Row],[Total]]</f>
        <v>-825</v>
      </c>
      <c r="H19" s="29">
        <f>-CategoryTable6[[#This Row],[Total]]</f>
        <v>-1265</v>
      </c>
    </row>
    <row r="20" spans="1:8" x14ac:dyDescent="0.3">
      <c r="A20" s="6" t="s">
        <v>47</v>
      </c>
      <c r="B20" s="14">
        <f>SUMIF(MyTransactions[Category],"=" &amp;CategoryTable6[[#This Row],[Category]],MyTransactions[Withdrawal])</f>
        <v>86.81</v>
      </c>
      <c r="C20" s="28">
        <v>100</v>
      </c>
      <c r="D20" s="30">
        <f>+CategoryTable6[[#This Row],[Budget]]-CategoryTable6[[#This Row],[Total]]</f>
        <v>13.189999999999998</v>
      </c>
      <c r="H20" s="29">
        <f>-CategoryTable6[[#This Row],[Total]]</f>
        <v>-86.81</v>
      </c>
    </row>
    <row r="21" spans="1:8" x14ac:dyDescent="0.3">
      <c r="A21" s="6" t="s">
        <v>48</v>
      </c>
      <c r="B21" s="14">
        <f>SUMIF(MyTransactions[Category],"=" &amp;CategoryTable6[[#This Row],[Category]],MyTransactions[Withdrawal])</f>
        <v>33.980000000000004</v>
      </c>
      <c r="C21" s="28">
        <v>200</v>
      </c>
      <c r="D21" s="30">
        <f>+CategoryTable6[[#This Row],[Budget]]-CategoryTable6[[#This Row],[Total]]</f>
        <v>166.01999999999998</v>
      </c>
      <c r="H21" s="29">
        <f>-CategoryTable6[[#This Row],[Total]]</f>
        <v>-33.980000000000004</v>
      </c>
    </row>
    <row r="22" spans="1:8" x14ac:dyDescent="0.3">
      <c r="A22" s="6" t="s">
        <v>49</v>
      </c>
      <c r="B22" s="14">
        <f>SUMIF(MyTransactions[Category],"=" &amp;CategoryTable6[[#This Row],[Category]],MyTransactions[Withdrawal])</f>
        <v>135.19999999999999</v>
      </c>
      <c r="C22" s="28">
        <v>200</v>
      </c>
      <c r="D22" s="30">
        <f>+CategoryTable6[[#This Row],[Budget]]-CategoryTable6[[#This Row],[Total]]</f>
        <v>64.800000000000011</v>
      </c>
      <c r="H22" s="29">
        <f>-CategoryTable6[[#This Row],[Total]]</f>
        <v>-135.19999999999999</v>
      </c>
    </row>
    <row r="23" spans="1:8" x14ac:dyDescent="0.3">
      <c r="A23" s="6" t="s">
        <v>50</v>
      </c>
      <c r="B23" s="14">
        <f>SUMIF(MyTransactions[Category],"=" &amp;CategoryTable6[[#This Row],[Category]],MyTransactions[Withdrawal])</f>
        <v>0</v>
      </c>
      <c r="C23" s="28">
        <v>50</v>
      </c>
      <c r="D23" s="30">
        <f>+CategoryTable6[[#This Row],[Budget]]-CategoryTable6[[#This Row],[Total]]</f>
        <v>50</v>
      </c>
      <c r="H23" s="29">
        <f>-CategoryTable6[[#This Row],[Total]]</f>
        <v>0</v>
      </c>
    </row>
    <row r="24" spans="1:8" x14ac:dyDescent="0.3">
      <c r="A24" s="6" t="s">
        <v>51</v>
      </c>
      <c r="B24" s="14">
        <f>SUMIF(MyTransactions[Category],"=" &amp;CategoryTable6[[#This Row],[Category]],MyTransactions[Withdrawal])</f>
        <v>240</v>
      </c>
      <c r="C24" s="28">
        <v>790</v>
      </c>
      <c r="D24" s="30">
        <f>+CategoryTable6[[#This Row],[Budget]]-CategoryTable6[[#This Row],[Total]]</f>
        <v>550</v>
      </c>
      <c r="H24" s="29">
        <f>-CategoryTable6[[#This Row],[Total]]</f>
        <v>-240</v>
      </c>
    </row>
    <row r="25" spans="1:8" x14ac:dyDescent="0.3">
      <c r="A25" s="6" t="s">
        <v>52</v>
      </c>
      <c r="B25" s="14">
        <f>SUMIF(MyTransactions[Category],"=" &amp;CategoryTable6[[#This Row],[Category]],MyTransactions[Withdrawal])</f>
        <v>20</v>
      </c>
      <c r="C25" s="28">
        <v>100</v>
      </c>
      <c r="D25" s="30">
        <f>+CategoryTable6[[#This Row],[Budget]]-CategoryTable6[[#This Row],[Total]]</f>
        <v>80</v>
      </c>
      <c r="H25" s="29">
        <f>-CategoryTable6[[#This Row],[Total]]</f>
        <v>-20</v>
      </c>
    </row>
    <row r="26" spans="1:8" x14ac:dyDescent="0.3">
      <c r="A26" s="6" t="s">
        <v>53</v>
      </c>
      <c r="B26" s="14">
        <f>SUMIF(MyTransactions[Category],"=" &amp;CategoryTable6[[#This Row],[Category]],MyTransactions[Withdrawal])</f>
        <v>13.25</v>
      </c>
      <c r="C26" s="28">
        <v>100</v>
      </c>
      <c r="D26" s="30">
        <f>+CategoryTable6[[#This Row],[Budget]]-CategoryTable6[[#This Row],[Total]]</f>
        <v>86.75</v>
      </c>
      <c r="H26" s="29">
        <f>-CategoryTable6[[#This Row],[Total]]</f>
        <v>-13.25</v>
      </c>
    </row>
    <row r="27" spans="1:8" x14ac:dyDescent="0.3">
      <c r="A27" s="6" t="s">
        <v>54</v>
      </c>
      <c r="B27" s="14">
        <f>SUMIF(MyTransactions[Category],"=" &amp;CategoryTable6[[#This Row],[Category]],MyTransactions[Withdrawal])</f>
        <v>0</v>
      </c>
      <c r="C27" s="28">
        <v>50</v>
      </c>
      <c r="D27" s="30">
        <f>+CategoryTable6[[#This Row],[Budget]]-CategoryTable6[[#This Row],[Total]]</f>
        <v>50</v>
      </c>
      <c r="H27" s="29">
        <f>-CategoryTable6[[#This Row],[Total]]</f>
        <v>0</v>
      </c>
    </row>
    <row r="28" spans="1:8" x14ac:dyDescent="0.3">
      <c r="A28" s="6" t="s">
        <v>55</v>
      </c>
      <c r="B28" s="14">
        <f>SUMIF(MyTransactions[Category],"=" &amp;CategoryTable6[[#This Row],[Category]],MyTransactions[Withdrawal])</f>
        <v>0</v>
      </c>
      <c r="C28" s="28">
        <v>2000</v>
      </c>
      <c r="D28" s="30">
        <f>+CategoryTable6[[#This Row],[Budget]]-CategoryTable6[[#This Row],[Total]]</f>
        <v>2000</v>
      </c>
      <c r="H28" s="29">
        <f>-CategoryTable6[[#This Row],[Total]]</f>
        <v>0</v>
      </c>
    </row>
    <row r="29" spans="1:8" x14ac:dyDescent="0.3">
      <c r="A29" s="6" t="s">
        <v>56</v>
      </c>
      <c r="B29" s="14">
        <f>SUMIF(MyTransactions[Category],"=" &amp;CategoryTable6[[#This Row],[Category]],MyTransactions[Withdrawal])</f>
        <v>0</v>
      </c>
      <c r="C29" s="28">
        <v>3000</v>
      </c>
      <c r="D29" s="30">
        <f>+CategoryTable6[[#This Row],[Budget]]-CategoryTable6[[#This Row],[Total]]</f>
        <v>3000</v>
      </c>
      <c r="H29" s="29">
        <f>-CategoryTable6[[#This Row],[Total]]</f>
        <v>0</v>
      </c>
    </row>
    <row r="30" spans="1:8" x14ac:dyDescent="0.3">
      <c r="A30" s="6" t="s">
        <v>57</v>
      </c>
      <c r="B30" s="14">
        <f>SUMIF(MyTransactions[Category],"=" &amp;CategoryTable6[[#This Row],[Category]],MyTransactions[Withdrawal])</f>
        <v>0</v>
      </c>
      <c r="C30" s="28">
        <v>1000</v>
      </c>
      <c r="D30" s="30">
        <f>+CategoryTable6[[#This Row],[Budget]]-CategoryTable6[[#This Row],[Total]]</f>
        <v>1000</v>
      </c>
      <c r="H30" s="29">
        <f>-CategoryTable6[[#This Row],[Total]]</f>
        <v>0</v>
      </c>
    </row>
    <row r="31" spans="1:8" x14ac:dyDescent="0.3">
      <c r="A31" s="6" t="s">
        <v>58</v>
      </c>
      <c r="B31" s="14">
        <f>SUMIF(MyTransactions[Category],"=" &amp;CategoryTable6[[#This Row],[Category]],MyTransactions[Withdrawal])</f>
        <v>1989</v>
      </c>
      <c r="C31" s="28">
        <v>1989</v>
      </c>
      <c r="D31" s="30">
        <f>+CategoryTable6[[#This Row],[Budget]]-CategoryTable6[[#This Row],[Total]]</f>
        <v>0</v>
      </c>
      <c r="H31" s="29">
        <f>-CategoryTable6[[#This Row],[Total]]</f>
        <v>-1989</v>
      </c>
    </row>
    <row r="32" spans="1:8" x14ac:dyDescent="0.3">
      <c r="A32" s="6" t="s">
        <v>59</v>
      </c>
      <c r="B32" s="14">
        <f>SUMIF(MyTransactions[Category],"=" &amp;CategoryTable6[[#This Row],[Category]],MyTransactions[Withdrawal])</f>
        <v>1326</v>
      </c>
      <c r="C32" s="28">
        <v>1326</v>
      </c>
      <c r="D32" s="30">
        <f>+CategoryTable6[[#This Row],[Budget]]-CategoryTable6[[#This Row],[Total]]</f>
        <v>0</v>
      </c>
      <c r="F32" s="29">
        <f>+CategoryTable6[[#This Row],[Total]]</f>
        <v>1326</v>
      </c>
    </row>
    <row r="33" spans="1:8" x14ac:dyDescent="0.3">
      <c r="A33" s="6" t="s">
        <v>60</v>
      </c>
      <c r="B33" s="14">
        <f>SUMIF(MyTransactions[Category],"=" &amp;CategoryTable6[[#This Row],[Category]],MyTransactions[Withdrawal])</f>
        <v>0</v>
      </c>
      <c r="C33" s="28">
        <v>5000</v>
      </c>
      <c r="D33" s="30">
        <f>+CategoryTable6[[#This Row],[Budget]]-CategoryTable6[[#This Row],[Total]]</f>
        <v>5000</v>
      </c>
      <c r="F33" s="29">
        <f>+CategoryTable6[[#This Row],[Total]]</f>
        <v>0</v>
      </c>
    </row>
    <row r="34" spans="1:8" x14ac:dyDescent="0.3">
      <c r="A34" s="6" t="s">
        <v>61</v>
      </c>
      <c r="B34" s="14">
        <f>SUMIF(MyTransactions[Category],"=" &amp;CategoryTable6[[#This Row],[Category]],MyTransactions[Withdrawal])</f>
        <v>0</v>
      </c>
      <c r="C34" s="28">
        <v>13000</v>
      </c>
      <c r="D34" s="30">
        <f>+CategoryTable6[[#This Row],[Budget]]-CategoryTable6[[#This Row],[Total]]</f>
        <v>13000</v>
      </c>
      <c r="F34" s="29">
        <f>-CategoryTable6[[#This Row],[Total]]</f>
        <v>0</v>
      </c>
    </row>
    <row r="35" spans="1:8" x14ac:dyDescent="0.3">
      <c r="A35" s="6" t="s">
        <v>62</v>
      </c>
      <c r="B35" s="14">
        <f>SUMIF(MyTransactions[Category],"=" &amp;CategoryTable6[[#This Row],[Category]],MyTransactions[Withdrawal])</f>
        <v>0</v>
      </c>
      <c r="C35" s="28">
        <v>50</v>
      </c>
      <c r="D35" s="30">
        <f>+CategoryTable6[[#This Row],[Budget]]-CategoryTable6[[#This Row],[Total]]</f>
        <v>50</v>
      </c>
      <c r="F35" s="29">
        <f>-CategoryTable6[[#This Row],[Total]]</f>
        <v>0</v>
      </c>
    </row>
    <row r="36" spans="1:8" x14ac:dyDescent="0.3">
      <c r="A36" s="6" t="s">
        <v>63</v>
      </c>
      <c r="B36" s="14">
        <f>SUMIF(MyTransactions[Category],"=" &amp;CategoryTable6[[#This Row],[Category]],MyTransactions[Withdrawal])</f>
        <v>100</v>
      </c>
      <c r="C36" s="28">
        <v>100</v>
      </c>
      <c r="D36" s="30">
        <f>+CategoryTable6[[#This Row],[Budget]]-CategoryTable6[[#This Row],[Total]]</f>
        <v>0</v>
      </c>
      <c r="F36" s="29">
        <f>-CategoryTable6[[#This Row],[Total]]</f>
        <v>-100</v>
      </c>
    </row>
    <row r="37" spans="1:8" x14ac:dyDescent="0.3">
      <c r="A37" s="6" t="s">
        <v>64</v>
      </c>
      <c r="B37" s="14">
        <f>SUMIF(MyTransactions[Category],"=" &amp;CategoryTable6[[#This Row],[Category]],MyTransactions[Withdrawal])</f>
        <v>50</v>
      </c>
      <c r="C37" s="28">
        <v>50</v>
      </c>
      <c r="D37" s="30">
        <f>+CategoryTable6[[#This Row],[Budget]]-CategoryTable6[[#This Row],[Total]]</f>
        <v>0</v>
      </c>
      <c r="F37" s="29">
        <f>-CategoryTable6[[#This Row],[Total]]</f>
        <v>-50</v>
      </c>
    </row>
    <row r="38" spans="1:8" x14ac:dyDescent="0.3">
      <c r="A38" s="6" t="s">
        <v>65</v>
      </c>
      <c r="B38" s="14">
        <f>SUMIF(MyTransactions[Category],"=" &amp;CategoryTable6[[#This Row],[Category]],MyTransactions[Withdrawal])</f>
        <v>0</v>
      </c>
      <c r="C38" s="28">
        <v>50</v>
      </c>
      <c r="D38" s="30">
        <f>+CategoryTable6[[#This Row],[Budget]]-CategoryTable6[[#This Row],[Total]]</f>
        <v>50</v>
      </c>
      <c r="F38" s="29">
        <f>-CategoryTable6[[#This Row],[Total]]</f>
        <v>0</v>
      </c>
    </row>
    <row r="39" spans="1:8" x14ac:dyDescent="0.3">
      <c r="A39" s="6" t="s">
        <v>66</v>
      </c>
      <c r="B39" s="14">
        <f>SUMIF(MyTransactions[Category],"=" &amp;CategoryTable6[[#This Row],[Category]],MyTransactions[Withdrawal])</f>
        <v>3291.31</v>
      </c>
      <c r="C39" s="28">
        <v>3250</v>
      </c>
      <c r="D39" s="30">
        <f>+CategoryTable6[[#This Row],[Budget]]-CategoryTable6[[#This Row],[Total]]</f>
        <v>-41.309999999999945</v>
      </c>
      <c r="F39" s="29">
        <f>-CategoryTable6[[#This Row],[Total]]</f>
        <v>-3291.31</v>
      </c>
    </row>
    <row r="40" spans="1:8" x14ac:dyDescent="0.3">
      <c r="A40" s="6" t="s">
        <v>67</v>
      </c>
      <c r="B40" s="14">
        <f>SUMIF(MyTransactions[Category],"=" &amp;CategoryTable6[[#This Row],[Category]],MyTransactions[Withdrawal])</f>
        <v>3857.21</v>
      </c>
      <c r="C40" s="28">
        <v>3500</v>
      </c>
      <c r="D40" s="30">
        <f>+CategoryTable6[[#This Row],[Budget]]-CategoryTable6[[#This Row],[Total]]</f>
        <v>-357.21000000000004</v>
      </c>
      <c r="F40" s="29">
        <f>-CategoryTable6[[#This Row],[Total]]</f>
        <v>-3857.21</v>
      </c>
    </row>
    <row r="41" spans="1:8" x14ac:dyDescent="0.3">
      <c r="A41" s="6" t="s">
        <v>68</v>
      </c>
      <c r="B41" s="14">
        <f>SUMIF(MyTransactions[Category],"=" &amp;CategoryTable6[[#This Row],[Category]],MyTransactions[Withdrawal])</f>
        <v>479</v>
      </c>
      <c r="C41" s="28">
        <v>800</v>
      </c>
      <c r="D41" s="30">
        <f>+CategoryTable6[[#This Row],[Budget]]-CategoryTable6[[#This Row],[Total]]</f>
        <v>321</v>
      </c>
      <c r="F41" s="29">
        <f>-CategoryTable6[[#This Row],[Total]]</f>
        <v>-479</v>
      </c>
    </row>
    <row r="42" spans="1:8" x14ac:dyDescent="0.3">
      <c r="A42" s="6" t="s">
        <v>69</v>
      </c>
      <c r="B42" s="14">
        <f>SUMIF(MyTransactions[Category],"=" &amp;CategoryTable6[[#This Row],[Category]],MyTransactions[Withdrawal])</f>
        <v>4344</v>
      </c>
      <c r="C42" s="28">
        <v>5500</v>
      </c>
      <c r="D42" s="30">
        <f>+CategoryTable6[[#This Row],[Budget]]-CategoryTable6[[#This Row],[Total]]</f>
        <v>1156</v>
      </c>
      <c r="F42" s="29">
        <f>-CategoryTable6[[#This Row],[Total]]</f>
        <v>-4344</v>
      </c>
    </row>
    <row r="43" spans="1:8" x14ac:dyDescent="0.3">
      <c r="A43" s="6" t="s">
        <v>70</v>
      </c>
      <c r="B43" s="14">
        <f>SUMIF(MyTransactions[Category],"=" &amp;CategoryTable6[[#This Row],[Category]],MyTransactions[Withdrawal])</f>
        <v>256.21999999999997</v>
      </c>
      <c r="C43" s="28">
        <v>200</v>
      </c>
      <c r="D43" s="30">
        <f>+CategoryTable6[[#This Row],[Budget]]-CategoryTable6[[#This Row],[Total]]</f>
        <v>-56.21999999999997</v>
      </c>
      <c r="F43" s="29">
        <f>-CategoryTable6[[#This Row],[Total]]</f>
        <v>-256.21999999999997</v>
      </c>
    </row>
    <row r="44" spans="1:8" x14ac:dyDescent="0.3">
      <c r="A44" s="6" t="s">
        <v>71</v>
      </c>
      <c r="B44" s="14">
        <f>SUMIF(MyTransactions[Category],"=" &amp;CategoryTable6[[#This Row],[Category]],MyTransactions[Withdrawal])</f>
        <v>36.36</v>
      </c>
      <c r="C44" s="28">
        <v>25</v>
      </c>
      <c r="D44" s="30">
        <f>+CategoryTable6[[#This Row],[Budget]]-CategoryTable6[[#This Row],[Total]]</f>
        <v>-11.36</v>
      </c>
      <c r="F44" s="29">
        <f>-CategoryTable6[[#This Row],[Total]]</f>
        <v>-36.36</v>
      </c>
    </row>
    <row r="45" spans="1:8" x14ac:dyDescent="0.3">
      <c r="A45" s="6" t="s">
        <v>72</v>
      </c>
      <c r="B45" s="14">
        <f>SUMIF(MyTransactions[Category],"=" &amp;CategoryTable6[[#This Row],[Category]],MyTransactions[Withdrawal])</f>
        <v>0</v>
      </c>
      <c r="C45" s="28">
        <v>125</v>
      </c>
      <c r="D45" s="30">
        <f>+CategoryTable6[[#This Row],[Budget]]-CategoryTable6[[#This Row],[Total]]</f>
        <v>125</v>
      </c>
      <c r="F45" s="29">
        <f>-CategoryTable6[[#This Row],[Total]]</f>
        <v>0</v>
      </c>
    </row>
    <row r="46" spans="1:8" x14ac:dyDescent="0.3">
      <c r="A46" s="6" t="s">
        <v>73</v>
      </c>
      <c r="B46" s="14">
        <f>SUMIF(MyTransactions[Category],"=" &amp;CategoryTable6[[#This Row],[Category]],MyTransactions[Withdrawal])</f>
        <v>50</v>
      </c>
      <c r="C46" s="28">
        <v>100</v>
      </c>
      <c r="D46" s="30">
        <f>+CategoryTable6[[#This Row],[Budget]]-CategoryTable6[[#This Row],[Total]]</f>
        <v>50</v>
      </c>
      <c r="F46" s="29">
        <f>-CategoryTable6[[#This Row],[Total]]</f>
        <v>-50</v>
      </c>
    </row>
    <row r="47" spans="1:8" x14ac:dyDescent="0.3">
      <c r="A47" s="6" t="s">
        <v>74</v>
      </c>
      <c r="B47" s="14">
        <f>SUMIF(MyTransactions[Category],"=" &amp;CategoryTable6[[#This Row],[Category]],MyTransactions[Withdrawal])</f>
        <v>45.34</v>
      </c>
      <c r="C47" s="28">
        <v>100</v>
      </c>
      <c r="D47" s="30">
        <f>+CategoryTable6[[#This Row],[Budget]]-CategoryTable6[[#This Row],[Total]]</f>
        <v>54.66</v>
      </c>
      <c r="F47" s="29">
        <f>SUM(F32:F46)</f>
        <v>-11138.1</v>
      </c>
      <c r="G47" s="29">
        <f>SUM(G32:G46)</f>
        <v>0</v>
      </c>
      <c r="H47" s="29">
        <f>SUM(H32:H46)</f>
        <v>0</v>
      </c>
    </row>
  </sheetData>
  <mergeCells count="1">
    <mergeCell ref="A1:B1"/>
  </mergeCells>
  <pageMargins left="0.7" right="0.7" top="0.75" bottom="0.75" header="0.3" footer="0.3"/>
  <pageSetup orientation="portrait" r:id="rId1"/>
  <tableParts count="1">
    <tablePart r:id="rId2"/>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pageSetUpPr fitToPage="1"/>
  </sheetPr>
  <dimension ref="B1:DG428"/>
  <sheetViews>
    <sheetView showGridLines="0" showRuler="0" topLeftCell="A4" zoomScaleNormal="100" workbookViewId="0">
      <selection activeCell="F21" sqref="F21"/>
    </sheetView>
  </sheetViews>
  <sheetFormatPr defaultColWidth="9.33203125" defaultRowHeight="16.8" x14ac:dyDescent="0.4"/>
  <cols>
    <col min="1" max="1" width="5.44140625" style="1" customWidth="1"/>
    <col min="2" max="2" width="26.44140625" style="1" customWidth="1"/>
    <col min="3" max="3" width="13.33203125" style="1" customWidth="1"/>
    <col min="4" max="4" width="5.6640625" style="1" customWidth="1"/>
    <col min="5" max="5" width="12.33203125" style="1" customWidth="1"/>
    <col min="6" max="6" width="14.33203125" style="1" customWidth="1"/>
    <col min="7" max="7" width="24.6640625" style="1" customWidth="1"/>
    <col min="8" max="8" width="16.33203125" style="1" customWidth="1"/>
    <col min="9" max="9" width="12.33203125" style="1" customWidth="1"/>
    <col min="10" max="10" width="13" style="1" customWidth="1"/>
    <col min="11" max="11" width="14.6640625" style="1" customWidth="1"/>
    <col min="12" max="12" width="12.33203125" customWidth="1"/>
    <col min="13" max="13" width="13.44140625" customWidth="1"/>
    <col min="14" max="14" width="12.88671875" customWidth="1"/>
    <col min="16" max="16" width="18" customWidth="1"/>
    <col min="17" max="17" width="6.44140625" customWidth="1"/>
    <col min="112" max="16384" width="9.33203125" style="1"/>
  </cols>
  <sheetData>
    <row r="1" spans="2:11" ht="67.95" customHeight="1" x14ac:dyDescent="1.1000000000000001">
      <c r="B1" s="565" t="s">
        <v>15</v>
      </c>
      <c r="C1" s="565"/>
      <c r="D1" s="565"/>
      <c r="E1" s="565"/>
      <c r="F1" s="565"/>
      <c r="G1" s="565"/>
      <c r="H1" s="7"/>
      <c r="I1" s="7"/>
      <c r="J1" s="7"/>
      <c r="K1" s="7"/>
    </row>
    <row r="2" spans="2:11" ht="23.85" customHeight="1" x14ac:dyDescent="0.55000000000000004">
      <c r="B2" s="566">
        <v>123456789</v>
      </c>
      <c r="C2" s="566"/>
      <c r="D2" s="566"/>
      <c r="E2" s="566"/>
      <c r="F2" s="566"/>
      <c r="G2" s="566"/>
      <c r="H2" s="8"/>
      <c r="I2" s="8"/>
      <c r="J2" s="8"/>
      <c r="K2" s="8"/>
    </row>
    <row r="3" spans="2:11" ht="25.95" customHeight="1" x14ac:dyDescent="0.4">
      <c r="B3" s="567" t="str">
        <f>CONCATENATE("Current Balance : "&amp;TEXT(MyTransactions1[[#Totals],[Balance]],"$#,##0.00"))</f>
        <v>Current Balance : $2,730.84</v>
      </c>
      <c r="C3" s="567"/>
      <c r="D3" s="567"/>
      <c r="E3" s="567"/>
      <c r="F3" s="567"/>
      <c r="G3" s="567"/>
      <c r="H3" s="12"/>
      <c r="I3" s="9"/>
      <c r="J3" s="9"/>
      <c r="K3" s="9"/>
    </row>
    <row r="4" spans="2:11" ht="24.6" x14ac:dyDescent="0.55000000000000004">
      <c r="B4" s="2"/>
      <c r="C4" s="2"/>
      <c r="D4" s="2"/>
      <c r="H4" s="2"/>
      <c r="K4"/>
    </row>
    <row r="5" spans="2:11" ht="20.399999999999999" customHeight="1" x14ac:dyDescent="0.55000000000000004">
      <c r="B5" s="2"/>
      <c r="C5" s="2"/>
      <c r="D5" s="2"/>
      <c r="E5" s="18" t="s">
        <v>12</v>
      </c>
      <c r="F5" s="18" t="s">
        <v>1</v>
      </c>
      <c r="G5" s="18" t="s">
        <v>2</v>
      </c>
      <c r="H5" s="18" t="s">
        <v>4</v>
      </c>
      <c r="I5" s="11" t="s">
        <v>21</v>
      </c>
      <c r="J5" s="11" t="s">
        <v>11</v>
      </c>
      <c r="K5" s="11" t="s">
        <v>3</v>
      </c>
    </row>
    <row r="6" spans="2:11" ht="20.399999999999999" customHeight="1" x14ac:dyDescent="0.55000000000000004">
      <c r="B6" s="2"/>
      <c r="C6" s="2"/>
      <c r="D6" s="2"/>
      <c r="E6" s="19"/>
      <c r="F6" s="21">
        <v>40391</v>
      </c>
      <c r="G6" s="19" t="s">
        <v>5</v>
      </c>
      <c r="H6" s="19" t="s">
        <v>11</v>
      </c>
      <c r="I6" s="23"/>
      <c r="J6" s="23">
        <v>2916.73</v>
      </c>
      <c r="K6" s="23">
        <f>MyTransactions1[[#This Row],[Deposit]]</f>
        <v>2916.73</v>
      </c>
    </row>
    <row r="7" spans="2:11" ht="20.399999999999999" customHeight="1" x14ac:dyDescent="0.55000000000000004">
      <c r="B7" s="2"/>
      <c r="C7" s="2"/>
      <c r="D7" s="2"/>
      <c r="E7" s="20">
        <v>2251</v>
      </c>
      <c r="F7" s="22">
        <v>40391</v>
      </c>
      <c r="G7" s="20" t="s">
        <v>22</v>
      </c>
      <c r="H7" s="20" t="s">
        <v>7</v>
      </c>
      <c r="I7" s="24">
        <v>205.61</v>
      </c>
      <c r="J7" s="24"/>
      <c r="K7" s="24">
        <f>IF(ISBLANK(MyTransactions1[[#This Row],[Withdrawal]]),K6+MyTransactions1[[#This Row],[Deposit]],K6-MyTransactions1[[#This Row],[Withdrawal]])</f>
        <v>2711.12</v>
      </c>
    </row>
    <row r="8" spans="2:11" ht="20.399999999999999" customHeight="1" x14ac:dyDescent="0.55000000000000004">
      <c r="B8" s="2"/>
      <c r="C8" s="2"/>
      <c r="D8" s="2"/>
      <c r="E8" s="20">
        <v>67112449</v>
      </c>
      <c r="F8" s="22">
        <v>40392</v>
      </c>
      <c r="G8" s="20" t="s">
        <v>13</v>
      </c>
      <c r="H8" s="20" t="s">
        <v>10</v>
      </c>
      <c r="I8" s="24">
        <v>961.77</v>
      </c>
      <c r="J8" s="24"/>
      <c r="K8" s="24">
        <f>IF(ISBLANK(MyTransactions1[[#This Row],[Withdrawal]]),K7+MyTransactions1[[#This Row],[Deposit]],K7-MyTransactions1[[#This Row],[Withdrawal]])</f>
        <v>1749.35</v>
      </c>
    </row>
    <row r="9" spans="2:11" ht="20.399999999999999" customHeight="1" x14ac:dyDescent="0.55000000000000004">
      <c r="B9" s="2"/>
      <c r="C9" s="2"/>
      <c r="D9" s="2"/>
      <c r="E9" s="20" t="s">
        <v>26</v>
      </c>
      <c r="F9" s="22">
        <v>40394</v>
      </c>
      <c r="G9" s="20" t="s">
        <v>24</v>
      </c>
      <c r="H9" s="20" t="s">
        <v>14</v>
      </c>
      <c r="I9" s="24">
        <v>3.65</v>
      </c>
      <c r="J9" s="24"/>
      <c r="K9" s="24">
        <f>IF(ISBLANK(MyTransactions1[[#This Row],[Withdrawal]]),K8+MyTransactions1[[#This Row],[Deposit]],K8-MyTransactions1[[#This Row],[Withdrawal]])</f>
        <v>1745.6999999999998</v>
      </c>
    </row>
    <row r="10" spans="2:11" ht="20.399999999999999" customHeight="1" x14ac:dyDescent="0.55000000000000004">
      <c r="B10" s="2"/>
      <c r="C10" s="2"/>
      <c r="D10" s="2"/>
      <c r="E10" s="20">
        <v>2252</v>
      </c>
      <c r="F10" s="22">
        <v>40395</v>
      </c>
      <c r="G10" s="20" t="s">
        <v>23</v>
      </c>
      <c r="H10" s="20" t="s">
        <v>8</v>
      </c>
      <c r="I10" s="24">
        <v>145.33000000000001</v>
      </c>
      <c r="J10" s="24"/>
      <c r="K10" s="24">
        <f>IF(ISBLANK(MyTransactions1[[#This Row],[Withdrawal]]),K9+MyTransactions1[[#This Row],[Deposit]],K9-MyTransactions1[[#This Row],[Withdrawal]])</f>
        <v>1600.37</v>
      </c>
    </row>
    <row r="11" spans="2:11" ht="20.399999999999999" customHeight="1" x14ac:dyDescent="0.55000000000000004">
      <c r="B11" s="2"/>
      <c r="C11" s="2"/>
      <c r="D11" s="2"/>
      <c r="E11" s="20" t="s">
        <v>27</v>
      </c>
      <c r="F11" s="22">
        <v>40397</v>
      </c>
      <c r="G11" s="20" t="s">
        <v>28</v>
      </c>
      <c r="H11" s="20" t="s">
        <v>14</v>
      </c>
      <c r="I11" s="24">
        <v>50</v>
      </c>
      <c r="J11" s="24"/>
      <c r="K11" s="24">
        <f>IF(ISBLANK(MyTransactions1[[#This Row],[Withdrawal]]),K10+MyTransactions1[[#This Row],[Deposit]],K10-MyTransactions1[[#This Row],[Withdrawal]])</f>
        <v>1550.37</v>
      </c>
    </row>
    <row r="12" spans="2:11" ht="20.399999999999999" customHeight="1" x14ac:dyDescent="0.55000000000000004">
      <c r="B12" s="2"/>
      <c r="C12" s="2"/>
      <c r="D12" s="2"/>
      <c r="E12" s="20">
        <v>68240158</v>
      </c>
      <c r="F12" s="22">
        <v>40400</v>
      </c>
      <c r="G12" s="20" t="s">
        <v>6</v>
      </c>
      <c r="H12" s="20" t="s">
        <v>6</v>
      </c>
      <c r="I12" s="24">
        <v>936.48</v>
      </c>
      <c r="J12" s="24"/>
      <c r="K12" s="24">
        <f>IF(ISBLANK(MyTransactions1[[#This Row],[Withdrawal]]),K11+MyTransactions1[[#This Row],[Deposit]],K11-MyTransactions1[[#This Row],[Withdrawal]])</f>
        <v>613.88999999999987</v>
      </c>
    </row>
    <row r="13" spans="2:11" ht="20.399999999999999" customHeight="1" x14ac:dyDescent="0.55000000000000004">
      <c r="B13" s="2"/>
      <c r="C13" s="2"/>
      <c r="D13" s="2"/>
      <c r="E13" s="25"/>
      <c r="F13" s="22">
        <v>40405</v>
      </c>
      <c r="G13" s="25" t="s">
        <v>16</v>
      </c>
      <c r="H13" s="25" t="s">
        <v>11</v>
      </c>
      <c r="I13" s="26"/>
      <c r="J13" s="26">
        <v>2365.8200000000002</v>
      </c>
      <c r="K13" s="24">
        <f>IF(ISBLANK(MyTransactions1[[#This Row],[Withdrawal]]),K12+MyTransactions1[[#This Row],[Deposit]],K12-MyTransactions1[[#This Row],[Withdrawal]])</f>
        <v>2979.71</v>
      </c>
    </row>
    <row r="14" spans="2:11" ht="15" customHeight="1" x14ac:dyDescent="0.4">
      <c r="D14" s="6"/>
      <c r="E14" s="25"/>
      <c r="F14" s="22">
        <v>40408</v>
      </c>
      <c r="G14" s="25" t="s">
        <v>19</v>
      </c>
      <c r="H14" s="25" t="s">
        <v>30</v>
      </c>
      <c r="I14" s="26">
        <v>200</v>
      </c>
      <c r="J14" s="26"/>
      <c r="K14" s="26">
        <f>IF(ISBLANK(MyTransactions1[[#This Row],[Withdrawal]]),K13+MyTransactions1[[#This Row],[Deposit]],K13-MyTransactions1[[#This Row],[Withdrawal]])</f>
        <v>2779.71</v>
      </c>
    </row>
    <row r="15" spans="2:11" x14ac:dyDescent="0.4">
      <c r="B15" s="564" t="s">
        <v>18</v>
      </c>
      <c r="C15" s="564"/>
      <c r="D15" s="6"/>
      <c r="E15" s="25">
        <v>2253</v>
      </c>
      <c r="F15" s="22">
        <v>40410</v>
      </c>
      <c r="G15" s="25" t="s">
        <v>20</v>
      </c>
      <c r="H15" s="25" t="s">
        <v>8</v>
      </c>
      <c r="I15" s="26">
        <v>48.87</v>
      </c>
      <c r="J15" s="26"/>
      <c r="K15" s="26">
        <f>IF(ISBLANK(MyTransactions1[[#This Row],[Withdrawal]]),K14+MyTransactions1[[#This Row],[Deposit]],K14-MyTransactions1[[#This Row],[Withdrawal]])</f>
        <v>2730.84</v>
      </c>
    </row>
    <row r="16" spans="2:11" x14ac:dyDescent="0.4">
      <c r="B16" s="6" t="s">
        <v>4</v>
      </c>
      <c r="C16" s="10" t="s">
        <v>0</v>
      </c>
      <c r="D16" s="6"/>
      <c r="E16" s="4" t="s">
        <v>17</v>
      </c>
      <c r="F16" s="4"/>
      <c r="G16" s="4"/>
      <c r="H16" s="4"/>
      <c r="I16" s="5">
        <f>SUBTOTAL(109,MyTransactions1[Withdrawal])</f>
        <v>2551.71</v>
      </c>
      <c r="J16" s="5">
        <f>SUBTOTAL(109,MyTransactions1[Deposit])</f>
        <v>5282.55</v>
      </c>
      <c r="K16" s="5">
        <f>MyTransactions1[[#Totals],[Deposit]]-MyTransactions1[[#Totals],[Withdrawal]]</f>
        <v>2730.84</v>
      </c>
    </row>
    <row r="17" spans="2:11" x14ac:dyDescent="0.4">
      <c r="B17" s="6" t="s">
        <v>11</v>
      </c>
      <c r="C17" s="14">
        <f>SUMIF(MyTransactions1[Category],"=" &amp;CategoryTable1[[#This Row],[Category]],MyTransactions1[Deposit])</f>
        <v>5282.55</v>
      </c>
      <c r="D17" s="6"/>
      <c r="E17"/>
      <c r="F17"/>
      <c r="G17"/>
      <c r="H17"/>
      <c r="I17"/>
      <c r="J17"/>
      <c r="K17"/>
    </row>
    <row r="18" spans="2:11" x14ac:dyDescent="0.4">
      <c r="B18" s="6" t="s">
        <v>6</v>
      </c>
      <c r="C18" s="14">
        <f>SUMIF(MyTransactions1[Category],"=" &amp;CategoryTable1[[#This Row],[Category]],MyTransactions1[Withdrawal])</f>
        <v>936.48</v>
      </c>
      <c r="D18" s="6"/>
      <c r="E18"/>
      <c r="F18"/>
      <c r="G18"/>
      <c r="H18"/>
      <c r="I18"/>
      <c r="J18"/>
      <c r="K18"/>
    </row>
    <row r="19" spans="2:11" x14ac:dyDescent="0.4">
      <c r="B19" s="6" t="s">
        <v>30</v>
      </c>
      <c r="C19" s="14">
        <f>SUMIF(MyTransactions1[Category],"=" &amp;CategoryTable1[[#This Row],[Category]],MyTransactions1[Withdrawal])</f>
        <v>200</v>
      </c>
      <c r="D19" s="6"/>
      <c r="E19"/>
      <c r="F19"/>
      <c r="G19"/>
      <c r="H19"/>
      <c r="I19"/>
      <c r="J19"/>
      <c r="K19"/>
    </row>
    <row r="20" spans="2:11" x14ac:dyDescent="0.4">
      <c r="B20" s="6" t="s">
        <v>7</v>
      </c>
      <c r="C20" s="14">
        <f>SUMIF(MyTransactions1[Category],"=" &amp;CategoryTable1[[#This Row],[Category]],MyTransactions1[Withdrawal])</f>
        <v>205.61</v>
      </c>
      <c r="D20" s="6"/>
      <c r="E20"/>
      <c r="F20"/>
      <c r="G20"/>
      <c r="H20"/>
      <c r="I20"/>
      <c r="J20"/>
      <c r="K20"/>
    </row>
    <row r="21" spans="2:11" x14ac:dyDescent="0.4">
      <c r="B21" s="6" t="s">
        <v>8</v>
      </c>
      <c r="C21" s="14">
        <f>SUMIF(MyTransactions1[Category],"=" &amp;CategoryTable1[[#This Row],[Category]],MyTransactions1[Withdrawal])</f>
        <v>194.20000000000002</v>
      </c>
      <c r="D21" s="6"/>
      <c r="E21"/>
      <c r="F21"/>
      <c r="G21"/>
      <c r="H21"/>
      <c r="I21"/>
      <c r="J21"/>
      <c r="K21"/>
    </row>
    <row r="22" spans="2:11" x14ac:dyDescent="0.4">
      <c r="B22" s="6" t="s">
        <v>9</v>
      </c>
      <c r="C22" s="14">
        <f>SUMIF(MyTransactions1[Category],"=" &amp;CategoryTable1[[#This Row],[Category]],MyTransactions1[Withdrawal])</f>
        <v>0</v>
      </c>
      <c r="E22"/>
      <c r="F22"/>
      <c r="G22"/>
      <c r="H22"/>
      <c r="I22"/>
      <c r="J22"/>
      <c r="K22"/>
    </row>
    <row r="23" spans="2:11" x14ac:dyDescent="0.4">
      <c r="B23" s="6" t="s">
        <v>10</v>
      </c>
      <c r="C23" s="14">
        <f>SUMIF(MyTransactions1[Category],"=" &amp;CategoryTable1[[#This Row],[Category]],MyTransactions1[Withdrawal])</f>
        <v>961.77</v>
      </c>
      <c r="D23" s="3"/>
      <c r="E23"/>
      <c r="F23"/>
      <c r="G23"/>
      <c r="H23"/>
      <c r="I23"/>
      <c r="J23"/>
      <c r="K23"/>
    </row>
    <row r="24" spans="2:11" customFormat="1" ht="13.8" x14ac:dyDescent="0.3">
      <c r="B24" s="6" t="s">
        <v>14</v>
      </c>
      <c r="C24" s="14">
        <f>SUMIF(MyTransactions1[Category],"=" &amp;CategoryTable1[[#This Row],[Category]],MyTransactions1[Withdrawal])</f>
        <v>53.65</v>
      </c>
    </row>
    <row r="25" spans="2:11" customFormat="1" ht="13.8" x14ac:dyDescent="0.3"/>
    <row r="26" spans="2:11" customFormat="1" ht="13.8" x14ac:dyDescent="0.3"/>
    <row r="27" spans="2:11" customFormat="1" ht="13.8" x14ac:dyDescent="0.3"/>
    <row r="28" spans="2:11" customFormat="1" ht="13.8" x14ac:dyDescent="0.3"/>
    <row r="29" spans="2:11" customFormat="1" ht="13.8" x14ac:dyDescent="0.3"/>
    <row r="30" spans="2:11" customFormat="1" ht="13.8" x14ac:dyDescent="0.3"/>
    <row r="31" spans="2:11" customFormat="1" ht="13.8" x14ac:dyDescent="0.3"/>
    <row r="32" spans="2:11" customFormat="1" ht="13.8" x14ac:dyDescent="0.3"/>
    <row r="33" customFormat="1" ht="13.8" x14ac:dyDescent="0.3"/>
    <row r="34" customFormat="1" ht="13.8" x14ac:dyDescent="0.3"/>
    <row r="35" customFormat="1" ht="13.8" x14ac:dyDescent="0.3"/>
    <row r="36" customFormat="1" ht="13.8" x14ac:dyDescent="0.3"/>
    <row r="37" customFormat="1" ht="13.8" x14ac:dyDescent="0.3"/>
    <row r="38" customFormat="1" ht="13.8" x14ac:dyDescent="0.3"/>
    <row r="39" customFormat="1" ht="13.8" x14ac:dyDescent="0.3"/>
    <row r="40" customFormat="1" ht="13.8" x14ac:dyDescent="0.3"/>
    <row r="41" customFormat="1" ht="13.8" x14ac:dyDescent="0.3"/>
    <row r="42" customFormat="1" ht="13.8" x14ac:dyDescent="0.3"/>
    <row r="43" customFormat="1" ht="13.8" x14ac:dyDescent="0.3"/>
    <row r="44" customFormat="1" ht="13.8" x14ac:dyDescent="0.3"/>
    <row r="45" customFormat="1" ht="13.8" x14ac:dyDescent="0.3"/>
    <row r="46" customFormat="1" ht="13.8" x14ac:dyDescent="0.3"/>
    <row r="47" customFormat="1" ht="13.8" x14ac:dyDescent="0.3"/>
    <row r="48" customFormat="1" ht="13.8" x14ac:dyDescent="0.3"/>
    <row r="49" customFormat="1" ht="13.8" x14ac:dyDescent="0.3"/>
    <row r="50" customFormat="1" ht="13.8" x14ac:dyDescent="0.3"/>
    <row r="51" customFormat="1" ht="13.8" x14ac:dyDescent="0.3"/>
    <row r="52" customFormat="1" ht="13.8" x14ac:dyDescent="0.3"/>
    <row r="53" customFormat="1" ht="13.8" x14ac:dyDescent="0.3"/>
    <row r="54" customFormat="1" ht="13.8" x14ac:dyDescent="0.3"/>
    <row r="55" customFormat="1" ht="13.8" x14ac:dyDescent="0.3"/>
    <row r="56" customFormat="1" ht="13.8" x14ac:dyDescent="0.3"/>
    <row r="57" customFormat="1" ht="13.8" x14ac:dyDescent="0.3"/>
    <row r="58" customFormat="1" ht="13.8" x14ac:dyDescent="0.3"/>
    <row r="59" customFormat="1" ht="13.8" x14ac:dyDescent="0.3"/>
    <row r="60" customFormat="1" ht="13.8" x14ac:dyDescent="0.3"/>
    <row r="61" customFormat="1" ht="13.8" x14ac:dyDescent="0.3"/>
    <row r="62" customFormat="1" ht="13.8" x14ac:dyDescent="0.3"/>
    <row r="63" customFormat="1" ht="13.8" x14ac:dyDescent="0.3"/>
    <row r="64" customFormat="1" ht="13.8" x14ac:dyDescent="0.3"/>
    <row r="65" customFormat="1" ht="13.8" x14ac:dyDescent="0.3"/>
    <row r="66" customFormat="1" ht="13.8" x14ac:dyDescent="0.3"/>
    <row r="67" customFormat="1" ht="13.8" x14ac:dyDescent="0.3"/>
    <row r="68" customFormat="1" ht="13.8" x14ac:dyDescent="0.3"/>
    <row r="69" customFormat="1" ht="13.8" x14ac:dyDescent="0.3"/>
    <row r="70" customFormat="1" ht="13.8" x14ac:dyDescent="0.3"/>
    <row r="71" customFormat="1" ht="13.8" x14ac:dyDescent="0.3"/>
    <row r="72" customFormat="1" ht="13.8" x14ac:dyDescent="0.3"/>
    <row r="73" customFormat="1" ht="13.8" x14ac:dyDescent="0.3"/>
    <row r="74" customFormat="1" ht="13.8" x14ac:dyDescent="0.3"/>
    <row r="75" customFormat="1" ht="13.8" x14ac:dyDescent="0.3"/>
    <row r="76" customFormat="1" ht="13.8" x14ac:dyDescent="0.3"/>
    <row r="77" customFormat="1" ht="13.8" x14ac:dyDescent="0.3"/>
    <row r="78" customFormat="1" ht="13.8" x14ac:dyDescent="0.3"/>
    <row r="79" customFormat="1" ht="13.8" x14ac:dyDescent="0.3"/>
    <row r="80" customFormat="1" ht="13.8" x14ac:dyDescent="0.3"/>
    <row r="81" customFormat="1" ht="13.8" x14ac:dyDescent="0.3"/>
    <row r="82" customFormat="1" ht="13.8" x14ac:dyDescent="0.3"/>
    <row r="83" customFormat="1" ht="13.8" x14ac:dyDescent="0.3"/>
    <row r="84" customFormat="1" ht="13.8" x14ac:dyDescent="0.3"/>
    <row r="85" customFormat="1" ht="13.8" x14ac:dyDescent="0.3"/>
    <row r="86" customFormat="1" ht="13.8" x14ac:dyDescent="0.3"/>
    <row r="87" customFormat="1" ht="13.8" x14ac:dyDescent="0.3"/>
    <row r="88" customFormat="1" ht="13.8" x14ac:dyDescent="0.3"/>
    <row r="89" customFormat="1" ht="13.8" x14ac:dyDescent="0.3"/>
    <row r="90" customFormat="1" ht="13.8" x14ac:dyDescent="0.3"/>
    <row r="91" customFormat="1" ht="13.8" x14ac:dyDescent="0.3"/>
    <row r="92" customFormat="1" ht="13.8" x14ac:dyDescent="0.3"/>
    <row r="93" customFormat="1" ht="13.8" x14ac:dyDescent="0.3"/>
    <row r="94" customFormat="1" ht="13.8" x14ac:dyDescent="0.3"/>
    <row r="95" customFormat="1" ht="13.8" x14ac:dyDescent="0.3"/>
    <row r="96" customFormat="1" ht="13.8" x14ac:dyDescent="0.3"/>
    <row r="97" customFormat="1" ht="13.8" x14ac:dyDescent="0.3"/>
    <row r="98" customFormat="1" ht="13.8" x14ac:dyDescent="0.3"/>
    <row r="99" customFormat="1" ht="13.8" x14ac:dyDescent="0.3"/>
    <row r="100" customFormat="1" ht="13.8" x14ac:dyDescent="0.3"/>
    <row r="101" customFormat="1" ht="13.8" x14ac:dyDescent="0.3"/>
    <row r="102" customFormat="1" ht="13.8" x14ac:dyDescent="0.3"/>
    <row r="103" customFormat="1" ht="13.8" x14ac:dyDescent="0.3"/>
    <row r="104" customFormat="1" ht="13.8" x14ac:dyDescent="0.3"/>
    <row r="105" customFormat="1" ht="13.8" x14ac:dyDescent="0.3"/>
    <row r="106" customFormat="1" ht="13.8" x14ac:dyDescent="0.3"/>
    <row r="107" customFormat="1" ht="13.8" x14ac:dyDescent="0.3"/>
    <row r="108" customFormat="1" ht="13.8" x14ac:dyDescent="0.3"/>
    <row r="109" customFormat="1" ht="13.8" x14ac:dyDescent="0.3"/>
    <row r="110" customFormat="1" ht="13.8" x14ac:dyDescent="0.3"/>
    <row r="111" customFormat="1" ht="13.8" x14ac:dyDescent="0.3"/>
    <row r="112" customFormat="1" ht="13.8" x14ac:dyDescent="0.3"/>
    <row r="113" customFormat="1" ht="13.8" x14ac:dyDescent="0.3"/>
    <row r="114" customFormat="1" ht="13.8" x14ac:dyDescent="0.3"/>
    <row r="115" customFormat="1" ht="13.8" x14ac:dyDescent="0.3"/>
    <row r="116" customFormat="1" ht="13.8" x14ac:dyDescent="0.3"/>
    <row r="117" customFormat="1" ht="13.8" x14ac:dyDescent="0.3"/>
    <row r="118" customFormat="1" ht="13.8" x14ac:dyDescent="0.3"/>
    <row r="119" customFormat="1" ht="13.8" x14ac:dyDescent="0.3"/>
    <row r="120" customFormat="1" ht="13.8" x14ac:dyDescent="0.3"/>
    <row r="121" customFormat="1" ht="13.8" x14ac:dyDescent="0.3"/>
    <row r="122" customFormat="1" ht="13.8" x14ac:dyDescent="0.3"/>
    <row r="123" customFormat="1" ht="13.8" x14ac:dyDescent="0.3"/>
    <row r="124" customFormat="1" ht="13.8" x14ac:dyDescent="0.3"/>
    <row r="125" customFormat="1" ht="13.8" x14ac:dyDescent="0.3"/>
    <row r="126" customFormat="1" ht="13.8" x14ac:dyDescent="0.3"/>
    <row r="127" customFormat="1" ht="13.8" x14ac:dyDescent="0.3"/>
    <row r="128" customFormat="1" ht="13.8" x14ac:dyDescent="0.3"/>
    <row r="129" customFormat="1" ht="13.8" x14ac:dyDescent="0.3"/>
    <row r="130" customFormat="1" ht="13.8" x14ac:dyDescent="0.3"/>
    <row r="131" customFormat="1" ht="13.8" x14ac:dyDescent="0.3"/>
    <row r="132" customFormat="1" ht="13.8" x14ac:dyDescent="0.3"/>
    <row r="133" customFormat="1" ht="13.8" x14ac:dyDescent="0.3"/>
    <row r="134" customFormat="1" ht="13.8" x14ac:dyDescent="0.3"/>
    <row r="135" customFormat="1" ht="13.8" x14ac:dyDescent="0.3"/>
    <row r="136" customFormat="1" ht="13.8" x14ac:dyDescent="0.3"/>
    <row r="137" customFormat="1" ht="13.8" x14ac:dyDescent="0.3"/>
    <row r="138" customFormat="1" ht="13.8" x14ac:dyDescent="0.3"/>
    <row r="139" customFormat="1" ht="13.8" x14ac:dyDescent="0.3"/>
    <row r="140" customFormat="1" ht="13.8" x14ac:dyDescent="0.3"/>
    <row r="141" customFormat="1" ht="13.8" x14ac:dyDescent="0.3"/>
    <row r="142" customFormat="1" ht="13.8" x14ac:dyDescent="0.3"/>
    <row r="143" customFormat="1" ht="13.8" x14ac:dyDescent="0.3"/>
    <row r="144" customFormat="1" ht="13.8" x14ac:dyDescent="0.3"/>
    <row r="145" customFormat="1" ht="13.8" x14ac:dyDescent="0.3"/>
    <row r="146" customFormat="1" ht="13.8" x14ac:dyDescent="0.3"/>
    <row r="147" customFormat="1" ht="13.8" x14ac:dyDescent="0.3"/>
    <row r="148" customFormat="1" ht="13.8" x14ac:dyDescent="0.3"/>
    <row r="149" customFormat="1" ht="13.8" x14ac:dyDescent="0.3"/>
    <row r="150" customFormat="1" ht="13.8" x14ac:dyDescent="0.3"/>
    <row r="151" customFormat="1" ht="13.8" x14ac:dyDescent="0.3"/>
    <row r="152" customFormat="1" ht="13.8" x14ac:dyDescent="0.3"/>
    <row r="153" customFormat="1" ht="13.8" x14ac:dyDescent="0.3"/>
    <row r="154" customFormat="1" ht="13.8" x14ac:dyDescent="0.3"/>
    <row r="155" customFormat="1" ht="13.8" x14ac:dyDescent="0.3"/>
    <row r="156" customFormat="1" ht="13.8" x14ac:dyDescent="0.3"/>
    <row r="157" customFormat="1" ht="13.8" x14ac:dyDescent="0.3"/>
    <row r="158" customFormat="1" ht="13.8" x14ac:dyDescent="0.3"/>
    <row r="159" customFormat="1" ht="13.8" x14ac:dyDescent="0.3"/>
    <row r="160" customFormat="1" ht="13.8" x14ac:dyDescent="0.3"/>
    <row r="161" customFormat="1" ht="13.8" x14ac:dyDescent="0.3"/>
    <row r="162" customFormat="1" ht="13.8" x14ac:dyDescent="0.3"/>
    <row r="163" customFormat="1" ht="13.8" x14ac:dyDescent="0.3"/>
    <row r="164" customFormat="1" ht="13.8" x14ac:dyDescent="0.3"/>
    <row r="165" customFormat="1" ht="13.8" x14ac:dyDescent="0.3"/>
    <row r="166" customFormat="1" ht="13.8" x14ac:dyDescent="0.3"/>
    <row r="167" customFormat="1" ht="13.8" x14ac:dyDescent="0.3"/>
    <row r="168" customFormat="1" ht="13.8" x14ac:dyDescent="0.3"/>
    <row r="169" customFormat="1" ht="13.8" x14ac:dyDescent="0.3"/>
    <row r="170" customFormat="1" ht="13.8" x14ac:dyDescent="0.3"/>
    <row r="171" customFormat="1" ht="13.8" x14ac:dyDescent="0.3"/>
    <row r="172" customFormat="1" ht="13.8" x14ac:dyDescent="0.3"/>
    <row r="173" customFormat="1" ht="13.8" x14ac:dyDescent="0.3"/>
    <row r="174" customFormat="1" ht="13.8" x14ac:dyDescent="0.3"/>
    <row r="175" customFormat="1" ht="13.8" x14ac:dyDescent="0.3"/>
    <row r="176" customFormat="1" ht="13.8" x14ac:dyDescent="0.3"/>
    <row r="177" customFormat="1" ht="13.8" x14ac:dyDescent="0.3"/>
    <row r="178" customFormat="1" ht="13.8" x14ac:dyDescent="0.3"/>
    <row r="179" customFormat="1" ht="13.8" x14ac:dyDescent="0.3"/>
    <row r="180" customFormat="1" ht="13.8" x14ac:dyDescent="0.3"/>
    <row r="181" customFormat="1" ht="13.8" x14ac:dyDescent="0.3"/>
    <row r="182" customFormat="1" ht="13.8" x14ac:dyDescent="0.3"/>
    <row r="183" customFormat="1" ht="13.8" x14ac:dyDescent="0.3"/>
    <row r="184" customFormat="1" ht="13.8" x14ac:dyDescent="0.3"/>
    <row r="185" customFormat="1" ht="13.8" x14ac:dyDescent="0.3"/>
    <row r="186" customFormat="1" ht="13.8" x14ac:dyDescent="0.3"/>
    <row r="187" customFormat="1" ht="13.8" x14ac:dyDescent="0.3"/>
    <row r="188" customFormat="1" ht="13.8" x14ac:dyDescent="0.3"/>
    <row r="189" customFormat="1" ht="13.8" x14ac:dyDescent="0.3"/>
    <row r="190" customFormat="1" ht="13.8" x14ac:dyDescent="0.3"/>
    <row r="191" customFormat="1" ht="13.8" x14ac:dyDescent="0.3"/>
    <row r="192" customFormat="1" ht="13.8" x14ac:dyDescent="0.3"/>
    <row r="193" customFormat="1" ht="13.8" x14ac:dyDescent="0.3"/>
    <row r="194" customFormat="1" ht="13.8" x14ac:dyDescent="0.3"/>
    <row r="195" customFormat="1" ht="13.8" x14ac:dyDescent="0.3"/>
    <row r="196" customFormat="1" ht="13.8" x14ac:dyDescent="0.3"/>
    <row r="197" customFormat="1" ht="13.8" x14ac:dyDescent="0.3"/>
    <row r="198" customFormat="1" ht="13.8" x14ac:dyDescent="0.3"/>
    <row r="199" customFormat="1" ht="13.8" x14ac:dyDescent="0.3"/>
    <row r="200" customFormat="1" ht="13.8" x14ac:dyDescent="0.3"/>
    <row r="201" customFormat="1" ht="13.8" x14ac:dyDescent="0.3"/>
    <row r="202" customFormat="1" ht="13.8" x14ac:dyDescent="0.3"/>
    <row r="203" customFormat="1" ht="13.8" x14ac:dyDescent="0.3"/>
    <row r="204" customFormat="1" ht="13.8" x14ac:dyDescent="0.3"/>
    <row r="205" customFormat="1" ht="13.8" x14ac:dyDescent="0.3"/>
    <row r="206" customFormat="1" ht="13.8" x14ac:dyDescent="0.3"/>
    <row r="207" customFormat="1" ht="13.8" x14ac:dyDescent="0.3"/>
    <row r="208" customFormat="1" ht="13.8" x14ac:dyDescent="0.3"/>
    <row r="209" customFormat="1" ht="13.8" x14ac:dyDescent="0.3"/>
    <row r="210" customFormat="1" ht="13.8" x14ac:dyDescent="0.3"/>
    <row r="211" customFormat="1" ht="13.8" x14ac:dyDescent="0.3"/>
    <row r="212" customFormat="1" ht="13.8" x14ac:dyDescent="0.3"/>
    <row r="213" customFormat="1" ht="13.8" x14ac:dyDescent="0.3"/>
    <row r="214" customFormat="1" ht="13.8" x14ac:dyDescent="0.3"/>
    <row r="215" customFormat="1" ht="13.8" x14ac:dyDescent="0.3"/>
    <row r="216" customFormat="1" ht="13.8" x14ac:dyDescent="0.3"/>
    <row r="217" customFormat="1" ht="13.8" x14ac:dyDescent="0.3"/>
    <row r="218" customFormat="1" ht="13.8" x14ac:dyDescent="0.3"/>
    <row r="219" customFormat="1" ht="13.8" x14ac:dyDescent="0.3"/>
    <row r="220" customFormat="1" ht="13.8" x14ac:dyDescent="0.3"/>
    <row r="221" customFormat="1" ht="13.8" x14ac:dyDescent="0.3"/>
    <row r="222" customFormat="1" ht="13.8" x14ac:dyDescent="0.3"/>
    <row r="223" customFormat="1" ht="13.8" x14ac:dyDescent="0.3"/>
    <row r="224" customFormat="1" ht="13.8" x14ac:dyDescent="0.3"/>
    <row r="225" customFormat="1" ht="13.8" x14ac:dyDescent="0.3"/>
    <row r="226" customFormat="1" ht="13.8" x14ac:dyDescent="0.3"/>
    <row r="227" customFormat="1" ht="13.8" x14ac:dyDescent="0.3"/>
    <row r="228" customFormat="1" ht="13.8" x14ac:dyDescent="0.3"/>
    <row r="229" customFormat="1" ht="13.8" x14ac:dyDescent="0.3"/>
    <row r="230" customFormat="1" ht="13.8" x14ac:dyDescent="0.3"/>
    <row r="231" customFormat="1" ht="13.8" x14ac:dyDescent="0.3"/>
    <row r="232" customFormat="1" ht="13.8" x14ac:dyDescent="0.3"/>
    <row r="233" customFormat="1" ht="13.8" x14ac:dyDescent="0.3"/>
    <row r="234" customFormat="1" ht="13.8" x14ac:dyDescent="0.3"/>
    <row r="235" customFormat="1" ht="13.8" x14ac:dyDescent="0.3"/>
    <row r="236" customFormat="1" ht="13.8" x14ac:dyDescent="0.3"/>
    <row r="237" customFormat="1" ht="13.8" x14ac:dyDescent="0.3"/>
    <row r="238" customFormat="1" ht="13.8" x14ac:dyDescent="0.3"/>
    <row r="239" customFormat="1" ht="13.8" x14ac:dyDescent="0.3"/>
    <row r="240" customFormat="1" ht="13.8" x14ac:dyDescent="0.3"/>
    <row r="241" customFormat="1" ht="13.8" x14ac:dyDescent="0.3"/>
    <row r="242" customFormat="1" ht="13.8" x14ac:dyDescent="0.3"/>
    <row r="243" customFormat="1" ht="13.8" x14ac:dyDescent="0.3"/>
    <row r="244" customFormat="1" ht="13.8" x14ac:dyDescent="0.3"/>
    <row r="245" customFormat="1" ht="13.8" x14ac:dyDescent="0.3"/>
    <row r="246" customFormat="1" ht="13.8" x14ac:dyDescent="0.3"/>
    <row r="247" customFormat="1" ht="13.8" x14ac:dyDescent="0.3"/>
    <row r="248" customFormat="1" ht="13.8" x14ac:dyDescent="0.3"/>
    <row r="249" customFormat="1" ht="13.8" x14ac:dyDescent="0.3"/>
    <row r="250" customFormat="1" ht="13.8" x14ac:dyDescent="0.3"/>
    <row r="251" customFormat="1" ht="13.8" x14ac:dyDescent="0.3"/>
    <row r="252" customFormat="1" ht="13.8" x14ac:dyDescent="0.3"/>
    <row r="253" customFormat="1" ht="13.8" x14ac:dyDescent="0.3"/>
    <row r="254" customFormat="1" ht="13.8" x14ac:dyDescent="0.3"/>
    <row r="255" customFormat="1" ht="13.8" x14ac:dyDescent="0.3"/>
    <row r="256" customFormat="1" ht="13.8" x14ac:dyDescent="0.3"/>
    <row r="257" customFormat="1" ht="13.8" x14ac:dyDescent="0.3"/>
    <row r="258" customFormat="1" ht="13.8" x14ac:dyDescent="0.3"/>
    <row r="259" customFormat="1" ht="13.8" x14ac:dyDescent="0.3"/>
    <row r="260" customFormat="1" ht="13.8" x14ac:dyDescent="0.3"/>
    <row r="261" customFormat="1" ht="13.8" x14ac:dyDescent="0.3"/>
    <row r="262" customFormat="1" ht="13.8" x14ac:dyDescent="0.3"/>
    <row r="263" customFormat="1" ht="13.8" x14ac:dyDescent="0.3"/>
    <row r="264" customFormat="1" ht="13.8" x14ac:dyDescent="0.3"/>
    <row r="265" customFormat="1" ht="13.8" x14ac:dyDescent="0.3"/>
    <row r="266" customFormat="1" ht="13.8" x14ac:dyDescent="0.3"/>
    <row r="267" customFormat="1" ht="13.8" x14ac:dyDescent="0.3"/>
    <row r="268" customFormat="1" ht="13.8" x14ac:dyDescent="0.3"/>
    <row r="269" customFormat="1" ht="13.8" x14ac:dyDescent="0.3"/>
    <row r="270" customFormat="1" ht="13.8" x14ac:dyDescent="0.3"/>
    <row r="271" customFormat="1" ht="13.8" x14ac:dyDescent="0.3"/>
    <row r="272" customFormat="1" ht="13.8" x14ac:dyDescent="0.3"/>
    <row r="273" customFormat="1" ht="13.8" x14ac:dyDescent="0.3"/>
    <row r="274" customFormat="1" ht="13.8" x14ac:dyDescent="0.3"/>
    <row r="275" customFormat="1" ht="13.8" x14ac:dyDescent="0.3"/>
    <row r="276" customFormat="1" ht="13.8" x14ac:dyDescent="0.3"/>
    <row r="277" customFormat="1" ht="13.8" x14ac:dyDescent="0.3"/>
    <row r="278" customFormat="1" ht="13.8" x14ac:dyDescent="0.3"/>
    <row r="279" customFormat="1" ht="13.8" x14ac:dyDescent="0.3"/>
    <row r="280" customFormat="1" ht="13.8" x14ac:dyDescent="0.3"/>
    <row r="281" customFormat="1" ht="13.8" x14ac:dyDescent="0.3"/>
    <row r="282" customFormat="1" ht="13.8" x14ac:dyDescent="0.3"/>
    <row r="283" customFormat="1" ht="13.8" x14ac:dyDescent="0.3"/>
    <row r="284" customFormat="1" ht="13.8" x14ac:dyDescent="0.3"/>
    <row r="285" customFormat="1" ht="13.8" x14ac:dyDescent="0.3"/>
    <row r="286" customFormat="1" ht="13.8" x14ac:dyDescent="0.3"/>
    <row r="287" customFormat="1" ht="13.8" x14ac:dyDescent="0.3"/>
    <row r="288" customFormat="1" ht="13.8" x14ac:dyDescent="0.3"/>
    <row r="289" customFormat="1" ht="13.8" x14ac:dyDescent="0.3"/>
    <row r="290" customFormat="1" ht="13.8" x14ac:dyDescent="0.3"/>
    <row r="291" customFormat="1" ht="13.8" x14ac:dyDescent="0.3"/>
    <row r="292" customFormat="1" ht="13.8" x14ac:dyDescent="0.3"/>
    <row r="293" customFormat="1" ht="13.8" x14ac:dyDescent="0.3"/>
    <row r="294" customFormat="1" ht="13.8" x14ac:dyDescent="0.3"/>
    <row r="295" customFormat="1" ht="13.8" x14ac:dyDescent="0.3"/>
    <row r="296" customFormat="1" ht="13.8" x14ac:dyDescent="0.3"/>
    <row r="297" customFormat="1" ht="13.8" x14ac:dyDescent="0.3"/>
    <row r="298" customFormat="1" ht="13.8" x14ac:dyDescent="0.3"/>
    <row r="299" customFormat="1" ht="13.8" x14ac:dyDescent="0.3"/>
    <row r="300" customFormat="1" ht="13.8" x14ac:dyDescent="0.3"/>
    <row r="301" customFormat="1" ht="13.8" x14ac:dyDescent="0.3"/>
    <row r="302" customFormat="1" ht="13.8" x14ac:dyDescent="0.3"/>
    <row r="303" customFormat="1" ht="13.8" x14ac:dyDescent="0.3"/>
    <row r="304" customFormat="1" ht="13.8" x14ac:dyDescent="0.3"/>
    <row r="305" customFormat="1" ht="13.8" x14ac:dyDescent="0.3"/>
    <row r="306" customFormat="1" ht="13.8" x14ac:dyDescent="0.3"/>
    <row r="307" customFormat="1" ht="13.8" x14ac:dyDescent="0.3"/>
    <row r="308" customFormat="1" ht="13.8" x14ac:dyDescent="0.3"/>
    <row r="309" customFormat="1" ht="13.8" x14ac:dyDescent="0.3"/>
    <row r="310" customFormat="1" ht="13.8" x14ac:dyDescent="0.3"/>
    <row r="311" customFormat="1" ht="13.8" x14ac:dyDescent="0.3"/>
    <row r="312" customFormat="1" ht="13.8" x14ac:dyDescent="0.3"/>
    <row r="313" customFormat="1" ht="13.8" x14ac:dyDescent="0.3"/>
    <row r="314" customFormat="1" ht="13.8" x14ac:dyDescent="0.3"/>
    <row r="315" customFormat="1" ht="13.8" x14ac:dyDescent="0.3"/>
    <row r="316" customFormat="1" ht="13.8" x14ac:dyDescent="0.3"/>
    <row r="317" customFormat="1" ht="13.8" x14ac:dyDescent="0.3"/>
    <row r="318" customFormat="1" ht="13.8" x14ac:dyDescent="0.3"/>
    <row r="319" customFormat="1" ht="13.8" x14ac:dyDescent="0.3"/>
    <row r="320" customFormat="1" ht="13.8" x14ac:dyDescent="0.3"/>
    <row r="321" customFormat="1" ht="13.8" x14ac:dyDescent="0.3"/>
    <row r="322" customFormat="1" ht="13.8" x14ac:dyDescent="0.3"/>
    <row r="323" customFormat="1" ht="13.8" x14ac:dyDescent="0.3"/>
    <row r="324" customFormat="1" ht="13.8" x14ac:dyDescent="0.3"/>
    <row r="325" customFormat="1" ht="13.8" x14ac:dyDescent="0.3"/>
    <row r="326" customFormat="1" ht="13.8" x14ac:dyDescent="0.3"/>
    <row r="327" customFormat="1" ht="13.8" x14ac:dyDescent="0.3"/>
    <row r="328" customFormat="1" ht="13.8" x14ac:dyDescent="0.3"/>
    <row r="329" customFormat="1" ht="13.8" x14ac:dyDescent="0.3"/>
    <row r="330" customFormat="1" ht="13.8" x14ac:dyDescent="0.3"/>
    <row r="331" customFormat="1" ht="13.8" x14ac:dyDescent="0.3"/>
    <row r="332" customFormat="1" ht="13.8" x14ac:dyDescent="0.3"/>
    <row r="333" customFormat="1" ht="13.8" x14ac:dyDescent="0.3"/>
    <row r="334" customFormat="1" ht="13.8" x14ac:dyDescent="0.3"/>
    <row r="335" customFormat="1" ht="13.8" x14ac:dyDescent="0.3"/>
    <row r="336" customFormat="1" ht="13.8" x14ac:dyDescent="0.3"/>
    <row r="337" customFormat="1" ht="13.8" x14ac:dyDescent="0.3"/>
    <row r="338" customFormat="1" ht="13.8" x14ac:dyDescent="0.3"/>
    <row r="339" customFormat="1" ht="13.8" x14ac:dyDescent="0.3"/>
    <row r="340" customFormat="1" ht="13.8" x14ac:dyDescent="0.3"/>
    <row r="341" customFormat="1" ht="13.8" x14ac:dyDescent="0.3"/>
    <row r="342" customFormat="1" ht="13.8" x14ac:dyDescent="0.3"/>
    <row r="343" customFormat="1" ht="13.8" x14ac:dyDescent="0.3"/>
    <row r="344" customFormat="1" ht="13.8" x14ac:dyDescent="0.3"/>
    <row r="345" customFormat="1" ht="13.8" x14ac:dyDescent="0.3"/>
    <row r="346" customFormat="1" ht="13.8" x14ac:dyDescent="0.3"/>
    <row r="347" customFormat="1" ht="13.8" x14ac:dyDescent="0.3"/>
    <row r="348" customFormat="1" ht="13.8" x14ac:dyDescent="0.3"/>
    <row r="349" customFormat="1" ht="13.8" x14ac:dyDescent="0.3"/>
    <row r="350" customFormat="1" ht="13.8" x14ac:dyDescent="0.3"/>
    <row r="351" customFormat="1" ht="13.8" x14ac:dyDescent="0.3"/>
    <row r="352" customFormat="1" ht="13.8" x14ac:dyDescent="0.3"/>
    <row r="353" customFormat="1" ht="13.8" x14ac:dyDescent="0.3"/>
    <row r="354" customFormat="1" ht="13.8" x14ac:dyDescent="0.3"/>
    <row r="355" customFormat="1" ht="13.8" x14ac:dyDescent="0.3"/>
    <row r="356" customFormat="1" ht="13.8" x14ac:dyDescent="0.3"/>
    <row r="357" customFormat="1" ht="13.8" x14ac:dyDescent="0.3"/>
    <row r="358" customFormat="1" ht="13.8" x14ac:dyDescent="0.3"/>
    <row r="359" customFormat="1" ht="13.8" x14ac:dyDescent="0.3"/>
    <row r="360" customFormat="1" ht="13.8" x14ac:dyDescent="0.3"/>
    <row r="361" customFormat="1" ht="13.8" x14ac:dyDescent="0.3"/>
    <row r="362" customFormat="1" ht="13.8" x14ac:dyDescent="0.3"/>
    <row r="363" customFormat="1" ht="13.8" x14ac:dyDescent="0.3"/>
    <row r="364" customFormat="1" ht="13.8" x14ac:dyDescent="0.3"/>
    <row r="365" customFormat="1" ht="13.8" x14ac:dyDescent="0.3"/>
    <row r="366" customFormat="1" ht="13.8" x14ac:dyDescent="0.3"/>
    <row r="367" customFormat="1" ht="13.8" x14ac:dyDescent="0.3"/>
    <row r="368" customFormat="1" ht="13.8" x14ac:dyDescent="0.3"/>
    <row r="369" customFormat="1" ht="13.8" x14ac:dyDescent="0.3"/>
    <row r="370" customFormat="1" ht="13.8" x14ac:dyDescent="0.3"/>
    <row r="371" customFormat="1" ht="13.8" x14ac:dyDescent="0.3"/>
    <row r="372" customFormat="1" ht="13.8" x14ac:dyDescent="0.3"/>
    <row r="373" customFormat="1" ht="13.8" x14ac:dyDescent="0.3"/>
    <row r="374" customFormat="1" ht="13.8" x14ac:dyDescent="0.3"/>
    <row r="375" customFormat="1" ht="13.8" x14ac:dyDescent="0.3"/>
    <row r="376" customFormat="1" ht="13.8" x14ac:dyDescent="0.3"/>
    <row r="377" customFormat="1" ht="13.8" x14ac:dyDescent="0.3"/>
    <row r="378" customFormat="1" ht="13.8" x14ac:dyDescent="0.3"/>
    <row r="379" customFormat="1" ht="13.8" x14ac:dyDescent="0.3"/>
    <row r="380" customFormat="1" ht="13.8" x14ac:dyDescent="0.3"/>
    <row r="381" customFormat="1" ht="13.8" x14ac:dyDescent="0.3"/>
    <row r="382" customFormat="1" ht="13.8" x14ac:dyDescent="0.3"/>
    <row r="383" customFormat="1" ht="13.8" x14ac:dyDescent="0.3"/>
    <row r="384" customFormat="1" ht="13.8" x14ac:dyDescent="0.3"/>
    <row r="385" customFormat="1" ht="13.8" x14ac:dyDescent="0.3"/>
    <row r="386" customFormat="1" ht="13.8" x14ac:dyDescent="0.3"/>
    <row r="387" customFormat="1" ht="13.8" x14ac:dyDescent="0.3"/>
    <row r="388" customFormat="1" ht="13.8" x14ac:dyDescent="0.3"/>
    <row r="389" customFormat="1" ht="13.8" x14ac:dyDescent="0.3"/>
    <row r="390" customFormat="1" ht="13.8" x14ac:dyDescent="0.3"/>
    <row r="391" customFormat="1" ht="13.8" x14ac:dyDescent="0.3"/>
    <row r="392" customFormat="1" ht="13.8" x14ac:dyDescent="0.3"/>
    <row r="393" customFormat="1" ht="13.8" x14ac:dyDescent="0.3"/>
    <row r="394" customFormat="1" ht="13.8" x14ac:dyDescent="0.3"/>
    <row r="395" customFormat="1" ht="13.8" x14ac:dyDescent="0.3"/>
    <row r="396" customFormat="1" ht="13.8" x14ac:dyDescent="0.3"/>
    <row r="397" customFormat="1" ht="13.8" x14ac:dyDescent="0.3"/>
    <row r="398" customFormat="1" ht="13.8" x14ac:dyDescent="0.3"/>
    <row r="399" customFormat="1" ht="13.8" x14ac:dyDescent="0.3"/>
    <row r="400" customFormat="1" ht="13.8" x14ac:dyDescent="0.3"/>
    <row r="401" spans="5:11" customFormat="1" ht="13.8" x14ac:dyDescent="0.3"/>
    <row r="402" spans="5:11" customFormat="1" ht="13.8" x14ac:dyDescent="0.3"/>
    <row r="403" spans="5:11" customFormat="1" ht="13.8" x14ac:dyDescent="0.3"/>
    <row r="404" spans="5:11" customFormat="1" ht="13.8" x14ac:dyDescent="0.3"/>
    <row r="405" spans="5:11" customFormat="1" ht="13.8" x14ac:dyDescent="0.3"/>
    <row r="406" spans="5:11" customFormat="1" ht="13.8" x14ac:dyDescent="0.3"/>
    <row r="407" spans="5:11" customFormat="1" ht="13.8" x14ac:dyDescent="0.3"/>
    <row r="408" spans="5:11" customFormat="1" ht="13.8" x14ac:dyDescent="0.3"/>
    <row r="409" spans="5:11" customFormat="1" ht="13.8" x14ac:dyDescent="0.3"/>
    <row r="410" spans="5:11" customFormat="1" ht="13.8" x14ac:dyDescent="0.3"/>
    <row r="411" spans="5:11" customFormat="1" ht="13.8" x14ac:dyDescent="0.3"/>
    <row r="412" spans="5:11" customFormat="1" x14ac:dyDescent="0.4">
      <c r="E412" s="1"/>
      <c r="F412" s="1"/>
      <c r="G412" s="1"/>
      <c r="H412" s="1"/>
      <c r="I412" s="1"/>
      <c r="J412" s="1"/>
      <c r="K412" s="1"/>
    </row>
    <row r="413" spans="5:11" customFormat="1" x14ac:dyDescent="0.4">
      <c r="E413" s="1"/>
      <c r="F413" s="1"/>
      <c r="G413" s="1"/>
      <c r="H413" s="1"/>
      <c r="I413" s="1"/>
      <c r="J413" s="1"/>
      <c r="K413" s="1"/>
    </row>
    <row r="414" spans="5:11" customFormat="1" x14ac:dyDescent="0.4">
      <c r="E414" s="1"/>
      <c r="F414" s="1"/>
      <c r="G414" s="1"/>
      <c r="H414" s="1"/>
      <c r="I414" s="1"/>
      <c r="J414" s="1"/>
      <c r="K414" s="1"/>
    </row>
    <row r="415" spans="5:11" customFormat="1" x14ac:dyDescent="0.4">
      <c r="E415" s="1"/>
      <c r="F415" s="1"/>
      <c r="G415" s="1"/>
      <c r="H415" s="1"/>
      <c r="I415" s="1"/>
      <c r="J415" s="1"/>
      <c r="K415" s="1"/>
    </row>
    <row r="416" spans="5:11" customFormat="1" x14ac:dyDescent="0.4">
      <c r="E416" s="1"/>
      <c r="F416" s="1"/>
      <c r="G416" s="1"/>
      <c r="H416" s="1"/>
      <c r="I416" s="1"/>
      <c r="J416" s="1"/>
      <c r="K416" s="1"/>
    </row>
    <row r="417" spans="2:11" customFormat="1" x14ac:dyDescent="0.4">
      <c r="E417" s="1"/>
      <c r="F417" s="1"/>
      <c r="G417" s="1"/>
      <c r="H417" s="1"/>
      <c r="I417" s="1"/>
      <c r="J417" s="1"/>
      <c r="K417" s="1"/>
    </row>
    <row r="418" spans="2:11" customFormat="1" x14ac:dyDescent="0.4">
      <c r="E418" s="1"/>
      <c r="F418" s="1"/>
      <c r="G418" s="1"/>
      <c r="H418" s="1"/>
      <c r="I418" s="1"/>
      <c r="J418" s="1"/>
      <c r="K418" s="1"/>
    </row>
    <row r="419" spans="2:11" customFormat="1" x14ac:dyDescent="0.4">
      <c r="E419" s="1"/>
      <c r="F419" s="1"/>
      <c r="G419" s="1"/>
      <c r="H419" s="1"/>
      <c r="I419" s="1"/>
      <c r="J419" s="1"/>
      <c r="K419" s="1"/>
    </row>
    <row r="420" spans="2:11" customFormat="1" x14ac:dyDescent="0.4">
      <c r="E420" s="1"/>
      <c r="F420" s="1"/>
      <c r="G420" s="1"/>
      <c r="H420" s="1"/>
      <c r="I420" s="1"/>
      <c r="J420" s="1"/>
      <c r="K420" s="1"/>
    </row>
    <row r="421" spans="2:11" customFormat="1" x14ac:dyDescent="0.4">
      <c r="E421" s="1"/>
      <c r="F421" s="1"/>
      <c r="G421" s="1"/>
      <c r="H421" s="1"/>
      <c r="I421" s="1"/>
      <c r="J421" s="1"/>
      <c r="K421" s="1"/>
    </row>
    <row r="422" spans="2:11" customFormat="1" x14ac:dyDescent="0.4">
      <c r="E422" s="1"/>
      <c r="F422" s="1"/>
      <c r="G422" s="1"/>
      <c r="H422" s="1"/>
      <c r="I422" s="1"/>
      <c r="J422" s="1"/>
      <c r="K422" s="1"/>
    </row>
    <row r="423" spans="2:11" customFormat="1" x14ac:dyDescent="0.4">
      <c r="E423" s="1"/>
      <c r="F423" s="1"/>
      <c r="G423" s="1"/>
      <c r="H423" s="1"/>
      <c r="I423" s="1"/>
      <c r="J423" s="1"/>
      <c r="K423" s="1"/>
    </row>
    <row r="424" spans="2:11" customFormat="1" x14ac:dyDescent="0.4">
      <c r="E424" s="1"/>
      <c r="F424" s="1"/>
      <c r="G424" s="1"/>
      <c r="H424" s="1"/>
      <c r="I424" s="1"/>
      <c r="J424" s="1"/>
      <c r="K424" s="1"/>
    </row>
    <row r="425" spans="2:11" customFormat="1" x14ac:dyDescent="0.4">
      <c r="E425" s="1"/>
      <c r="F425" s="1"/>
      <c r="G425" s="1"/>
      <c r="H425" s="1"/>
      <c r="I425" s="1"/>
      <c r="J425" s="1"/>
      <c r="K425" s="1"/>
    </row>
    <row r="426" spans="2:11" customFormat="1" x14ac:dyDescent="0.4">
      <c r="E426" s="1"/>
      <c r="F426" s="1"/>
      <c r="G426" s="1"/>
      <c r="H426" s="1"/>
      <c r="I426" s="1"/>
      <c r="J426" s="1"/>
      <c r="K426" s="1"/>
    </row>
    <row r="427" spans="2:11" customFormat="1" x14ac:dyDescent="0.4">
      <c r="B427" s="1"/>
      <c r="C427" s="1"/>
      <c r="E427" s="1"/>
      <c r="F427" s="1"/>
      <c r="G427" s="1"/>
      <c r="H427" s="1"/>
      <c r="I427" s="1"/>
      <c r="J427" s="1"/>
      <c r="K427" s="1"/>
    </row>
    <row r="428" spans="2:11" customFormat="1" x14ac:dyDescent="0.4">
      <c r="B428" s="1"/>
      <c r="C428" s="1"/>
      <c r="E428" s="1"/>
      <c r="F428" s="1"/>
      <c r="G428" s="1"/>
      <c r="H428" s="1"/>
      <c r="I428" s="1"/>
      <c r="J428" s="1"/>
      <c r="K428" s="1"/>
    </row>
  </sheetData>
  <mergeCells count="4">
    <mergeCell ref="B1:G1"/>
    <mergeCell ref="B2:G2"/>
    <mergeCell ref="B3:G3"/>
    <mergeCell ref="B15:C15"/>
  </mergeCells>
  <conditionalFormatting sqref="K6:K15">
    <cfRule type="expression" dxfId="29" priority="1">
      <formula>K6&lt;0</formula>
    </cfRule>
  </conditionalFormatting>
  <dataValidations count="1">
    <dataValidation type="list" allowBlank="1" showInputMessage="1" showErrorMessage="1" sqref="H6:H15" xr:uid="{00000000-0002-0000-0B00-000000000000}">
      <formula1>CategoryLookup</formula1>
    </dataValidation>
  </dataValidations>
  <pageMargins left="0.7" right="0.7" top="0.75" bottom="0.75" header="0.3" footer="0.3"/>
  <pageSetup scale="76" fitToHeight="0" orientation="landscape" r:id="rId1"/>
  <drawing r:id="rId2"/>
  <tableParts count="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75ED73BD-9183-4A5D-83BC-9D403B5E8E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53</vt:i4>
      </vt:variant>
    </vt:vector>
  </HeadingPairs>
  <TitlesOfParts>
    <vt:vector size="72" baseType="lpstr">
      <vt:lpstr>Sheet1 (2)</vt:lpstr>
      <vt:lpstr>Check Register 2022</vt:lpstr>
      <vt:lpstr>Budget 2022</vt:lpstr>
      <vt:lpstr>Check Register 2021</vt:lpstr>
      <vt:lpstr>Group Funds Held</vt:lpstr>
      <vt:lpstr>Budgeting (2021)</vt:lpstr>
      <vt:lpstr>How to use this template</vt:lpstr>
      <vt:lpstr>Check Register 2020</vt:lpstr>
      <vt:lpstr>Budgeting (2020)</vt:lpstr>
      <vt:lpstr>Check Register 2019</vt:lpstr>
      <vt:lpstr>Check Register 2018</vt:lpstr>
      <vt:lpstr>Check Register 2017</vt:lpstr>
      <vt:lpstr>BUDGET 2016-17</vt:lpstr>
      <vt:lpstr>Check Register 2016</vt:lpstr>
      <vt:lpstr>Check Register 2015</vt:lpstr>
      <vt:lpstr>Check Register 2014 </vt:lpstr>
      <vt:lpstr>Check Register 2012-13</vt:lpstr>
      <vt:lpstr>Group Totals</vt:lpstr>
      <vt:lpstr>Sample</vt:lpstr>
      <vt:lpstr>'Check Register 2015'!Category</vt:lpstr>
      <vt:lpstr>'Check Register 2016'!Category</vt:lpstr>
      <vt:lpstr>'Check Register 2017'!Category</vt:lpstr>
      <vt:lpstr>'Check Register 2018'!Category</vt:lpstr>
      <vt:lpstr>'Check Register 2019'!Category</vt:lpstr>
      <vt:lpstr>'Check Register 2020'!Category</vt:lpstr>
      <vt:lpstr>'Check Register 2021'!Category</vt:lpstr>
      <vt:lpstr>'Check Register 2022'!Category</vt:lpstr>
      <vt:lpstr>Category</vt:lpstr>
      <vt:lpstr>'Budgeting (2021)'!CategoryLookup</vt:lpstr>
      <vt:lpstr>'Check Register 2014 '!CategoryLookup</vt:lpstr>
      <vt:lpstr>'Check Register 2015'!CategoryLookup</vt:lpstr>
      <vt:lpstr>'Check Register 2016'!CategoryLookup</vt:lpstr>
      <vt:lpstr>'Check Register 2017'!CategoryLookup</vt:lpstr>
      <vt:lpstr>'Check Register 2018'!CategoryLookup</vt:lpstr>
      <vt:lpstr>'Check Register 2019'!CategoryLookup</vt:lpstr>
      <vt:lpstr>'Check Register 2020'!CategoryLookup</vt:lpstr>
      <vt:lpstr>'Check Register 2021'!CategoryLookup</vt:lpstr>
      <vt:lpstr>'Check Register 2022'!CategoryLookup</vt:lpstr>
      <vt:lpstr>Sample!CategoryLookup</vt:lpstr>
      <vt:lpstr>CategoryLookup</vt:lpstr>
      <vt:lpstr>'Budgeting (2020)'!Print_Area</vt:lpstr>
      <vt:lpstr>'Budgeting (2021)'!Print_Area</vt:lpstr>
      <vt:lpstr>'Check Register 2014 '!Print_Area</vt:lpstr>
      <vt:lpstr>'Check Register 2015'!Print_Area</vt:lpstr>
      <vt:lpstr>'Check Register 2016'!Print_Area</vt:lpstr>
      <vt:lpstr>'Check Register 2017'!Print_Area</vt:lpstr>
      <vt:lpstr>'Check Register 2018'!Print_Area</vt:lpstr>
      <vt:lpstr>'Check Register 2019'!Print_Area</vt:lpstr>
      <vt:lpstr>'Check Register 2020'!Print_Area</vt:lpstr>
      <vt:lpstr>'Check Register 2021'!Print_Area</vt:lpstr>
      <vt:lpstr>'Check Register 2022'!Print_Area</vt:lpstr>
      <vt:lpstr>'Check Register 2014 '!Print_Titles</vt:lpstr>
      <vt:lpstr>'Check Register 2015'!Print_Titles</vt:lpstr>
      <vt:lpstr>'Check Register 2016'!Print_Titles</vt:lpstr>
      <vt:lpstr>'Check Register 2017'!Print_Titles</vt:lpstr>
      <vt:lpstr>'Check Register 2018'!Print_Titles</vt:lpstr>
      <vt:lpstr>'Check Register 2019'!Print_Titles</vt:lpstr>
      <vt:lpstr>'Check Register 2020'!Print_Titles</vt:lpstr>
      <vt:lpstr>'Check Register 2021'!Print_Titles</vt:lpstr>
      <vt:lpstr>'Check Register 2022'!Print_Titles</vt:lpstr>
      <vt:lpstr>'Budgeting (2021)'!Transaction</vt:lpstr>
      <vt:lpstr>'Check Register 2014 '!Transaction</vt:lpstr>
      <vt:lpstr>'Check Register 2015'!Transaction</vt:lpstr>
      <vt:lpstr>'Check Register 2016'!Transaction</vt:lpstr>
      <vt:lpstr>'Check Register 2017'!Transaction</vt:lpstr>
      <vt:lpstr>'Check Register 2018'!Transaction</vt:lpstr>
      <vt:lpstr>'Check Register 2019'!Transaction</vt:lpstr>
      <vt:lpstr>'Check Register 2020'!Transaction</vt:lpstr>
      <vt:lpstr>'Check Register 2021'!Transaction</vt:lpstr>
      <vt:lpstr>'Check Register 2022'!Transaction</vt:lpstr>
      <vt:lpstr>Transaction</vt:lpstr>
      <vt:lpstr>Sample!Transaction3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2013-01-21T03:27:32Z</dcterms:created>
  <dcterms:modified xsi:type="dcterms:W3CDTF">2021-12-05T03:22:37Z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TC024259249991</vt:lpwstr>
  </property>
</Properties>
</file>