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eva\Documents\NA\Vermilion\2021\"/>
    </mc:Choice>
  </mc:AlternateContent>
  <xr:revisionPtr revIDLastSave="0" documentId="13_ncr:1_{B2068BE3-5C72-4CE8-8121-A6D2C96EF68C}" xr6:coauthVersionLast="46" xr6:coauthVersionMax="47" xr10:uidLastSave="{00000000-0000-0000-0000-000000000000}"/>
  <bookViews>
    <workbookView xWindow="-108" yWindow="-108" windowWidth="23256" windowHeight="12696" activeTab="1" xr2:uid="{00000000-000D-0000-FFFF-FFFF00000000}"/>
  </bookViews>
  <sheets>
    <sheet name="Audit Findings" sheetId="11" r:id="rId1"/>
    <sheet name="2021 Registation" sheetId="1" r:id="rId2"/>
    <sheet name="Who (Discount Reason)" sheetId="2" r:id="rId3"/>
    <sheet name="Location to Miles" sheetId="5" r:id="rId4"/>
    <sheet name="Full Report" sheetId="8" r:id="rId5"/>
    <sheet name="Quick Report" sheetId="4" r:id="rId6"/>
    <sheet name="Registration Hours" sheetId="10" r:id="rId7"/>
    <sheet name="Registration Sign Up " sheetId="6" r:id="rId8"/>
    <sheet name="Cabin Check In Sheet" sheetId="7" r:id="rId9"/>
  </sheets>
  <definedNames>
    <definedName name="_xlnm._FilterDatabase" localSheetId="1" hidden="1">'2021 Registation'!$A$9:$BQ$204</definedName>
    <definedName name="_xlnm.Print_Area" localSheetId="4">'Full Report'!$A$1:$D$64</definedName>
    <definedName name="_xlnm.Print_Area" localSheetId="7">'Registration Sign Up '!$A$1:$E$9</definedName>
    <definedName name="_xlnm.Print_Titles" localSheetId="4">'Full Report'!$1:$1</definedName>
    <definedName name="Reasons">'Who (Discount Reason)'!$A$2:$A$14</definedName>
  </definedNames>
  <calcPr calcId="181029"/>
</workbook>
</file>

<file path=xl/calcChain.xml><?xml version="1.0" encoding="utf-8"?>
<calcChain xmlns="http://schemas.openxmlformats.org/spreadsheetml/2006/main">
  <c r="P219" i="1" l="1"/>
  <c r="N223" i="1"/>
  <c r="N221" i="1"/>
  <c r="N220" i="1"/>
  <c r="F23" i="11"/>
  <c r="J5" i="11"/>
  <c r="S5" i="11" s="1"/>
  <c r="O218" i="1"/>
  <c r="O219" i="1" s="1"/>
  <c r="O216" i="1"/>
  <c r="N217" i="1"/>
  <c r="N215" i="1"/>
  <c r="N214" i="1"/>
  <c r="N213" i="1"/>
  <c r="N212" i="1"/>
  <c r="N211" i="1"/>
  <c r="N210" i="1"/>
  <c r="N219" i="1" s="1"/>
  <c r="J220" i="1" s="1"/>
  <c r="P26" i="1"/>
  <c r="P204" i="1"/>
  <c r="J6" i="11" l="1"/>
  <c r="S6" i="11" s="1"/>
  <c r="J7" i="11"/>
  <c r="S7" i="11" s="1"/>
  <c r="G21" i="11"/>
  <c r="F21" i="11"/>
  <c r="D21" i="11"/>
  <c r="C21" i="11"/>
  <c r="J10" i="11"/>
  <c r="S10" i="11" s="1"/>
  <c r="J11" i="11"/>
  <c r="S11" i="11" s="1"/>
  <c r="J12" i="11"/>
  <c r="S12" i="11" s="1"/>
  <c r="J13" i="11"/>
  <c r="S13" i="11" s="1"/>
  <c r="J14" i="11"/>
  <c r="S14" i="11" s="1"/>
  <c r="J17" i="11"/>
  <c r="S17" i="11" s="1"/>
  <c r="J18" i="11"/>
  <c r="S18" i="11" s="1"/>
  <c r="J20" i="11"/>
  <c r="S20" i="11" s="1"/>
  <c r="J4" i="11"/>
  <c r="S4" i="11" s="1"/>
  <c r="J8" i="11"/>
  <c r="S8" i="11" s="1"/>
  <c r="J16" i="11"/>
  <c r="S16" i="11" s="1"/>
  <c r="J15" i="11"/>
  <c r="S15" i="11" s="1"/>
  <c r="J19" i="11"/>
  <c r="S19" i="11" s="1"/>
  <c r="J9" i="11"/>
  <c r="S9" i="11" s="1"/>
  <c r="P37" i="1"/>
  <c r="O35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7" i="1"/>
  <c r="P28" i="1"/>
  <c r="P29" i="1"/>
  <c r="P30" i="1"/>
  <c r="P31" i="1"/>
  <c r="P32" i="1"/>
  <c r="P33" i="1"/>
  <c r="P34" i="1"/>
  <c r="P36" i="1"/>
  <c r="P38" i="1"/>
  <c r="P39" i="1"/>
  <c r="P40" i="1"/>
  <c r="P41" i="1"/>
  <c r="P42" i="1"/>
  <c r="P43" i="1"/>
  <c r="P44" i="1"/>
  <c r="P45" i="1"/>
  <c r="P46" i="1"/>
  <c r="P47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48" i="1"/>
  <c r="P96" i="1"/>
  <c r="P97" i="1"/>
  <c r="P10" i="1"/>
  <c r="P35" i="1" l="1"/>
  <c r="O203" i="1"/>
  <c r="P203" i="1"/>
  <c r="J21" i="11"/>
  <c r="D35" i="8"/>
  <c r="E44" i="1" l="1"/>
  <c r="F44" i="1"/>
  <c r="K44" i="1" s="1"/>
  <c r="M44" i="1" s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P44" i="1"/>
  <c r="E69" i="1"/>
  <c r="F69" i="1"/>
  <c r="K69" i="1" s="1"/>
  <c r="M69" i="1" s="1"/>
  <c r="E168" i="1"/>
  <c r="F168" i="1"/>
  <c r="K168" i="1" s="1"/>
  <c r="M168" i="1" s="1"/>
  <c r="E169" i="1"/>
  <c r="F169" i="1"/>
  <c r="K169" i="1" s="1"/>
  <c r="M169" i="1" s="1"/>
  <c r="E170" i="1"/>
  <c r="F170" i="1"/>
  <c r="K170" i="1" s="1"/>
  <c r="M170" i="1" s="1"/>
  <c r="E70" i="1"/>
  <c r="F70" i="1"/>
  <c r="K70" i="1" s="1"/>
  <c r="M70" i="1" s="1"/>
  <c r="E171" i="1"/>
  <c r="F171" i="1"/>
  <c r="K171" i="1" s="1"/>
  <c r="M171" i="1" s="1"/>
  <c r="E172" i="1"/>
  <c r="F172" i="1"/>
  <c r="K172" i="1" s="1"/>
  <c r="M172" i="1" s="1"/>
  <c r="E173" i="1"/>
  <c r="F173" i="1"/>
  <c r="K173" i="1" s="1"/>
  <c r="M173" i="1" s="1"/>
  <c r="E174" i="1"/>
  <c r="F174" i="1"/>
  <c r="K174" i="1" s="1"/>
  <c r="M174" i="1" s="1"/>
  <c r="E175" i="1"/>
  <c r="F175" i="1"/>
  <c r="K175" i="1" s="1"/>
  <c r="M175" i="1" s="1"/>
  <c r="E176" i="1"/>
  <c r="F176" i="1"/>
  <c r="K176" i="1" s="1"/>
  <c r="M176" i="1" s="1"/>
  <c r="E71" i="1"/>
  <c r="F71" i="1"/>
  <c r="K71" i="1" s="1"/>
  <c r="M71" i="1" s="1"/>
  <c r="E177" i="1"/>
  <c r="F177" i="1"/>
  <c r="K177" i="1" s="1"/>
  <c r="M177" i="1" s="1"/>
  <c r="E72" i="1"/>
  <c r="F72" i="1"/>
  <c r="K72" i="1" s="1"/>
  <c r="M72" i="1" s="1"/>
  <c r="E178" i="1"/>
  <c r="F178" i="1"/>
  <c r="K178" i="1" s="1"/>
  <c r="M178" i="1" s="1"/>
  <c r="E73" i="1"/>
  <c r="F73" i="1"/>
  <c r="K73" i="1" s="1"/>
  <c r="M73" i="1" s="1"/>
  <c r="E179" i="1"/>
  <c r="F179" i="1"/>
  <c r="K179" i="1" s="1"/>
  <c r="M179" i="1" s="1"/>
  <c r="E180" i="1"/>
  <c r="F180" i="1"/>
  <c r="K180" i="1" s="1"/>
  <c r="M180" i="1" s="1"/>
  <c r="E181" i="1"/>
  <c r="F181" i="1"/>
  <c r="K181" i="1" s="1"/>
  <c r="M181" i="1" s="1"/>
  <c r="E74" i="1"/>
  <c r="F74" i="1"/>
  <c r="K74" i="1" s="1"/>
  <c r="M74" i="1" s="1"/>
  <c r="E182" i="1"/>
  <c r="F182" i="1"/>
  <c r="K182" i="1" s="1"/>
  <c r="M182" i="1" s="1"/>
  <c r="E183" i="1"/>
  <c r="F183" i="1"/>
  <c r="K183" i="1" s="1"/>
  <c r="M183" i="1" s="1"/>
  <c r="E25" i="1"/>
  <c r="F25" i="1"/>
  <c r="K25" i="1" s="1"/>
  <c r="M25" i="1" s="1"/>
  <c r="E57" i="1"/>
  <c r="F57" i="1"/>
  <c r="K57" i="1" s="1"/>
  <c r="M57" i="1" s="1"/>
  <c r="E75" i="1"/>
  <c r="F75" i="1"/>
  <c r="K75" i="1" s="1"/>
  <c r="M75" i="1" s="1"/>
  <c r="E184" i="1"/>
  <c r="F184" i="1"/>
  <c r="K184" i="1" s="1"/>
  <c r="M184" i="1" s="1"/>
  <c r="E77" i="1"/>
  <c r="F77" i="1"/>
  <c r="K77" i="1" s="1"/>
  <c r="M77" i="1" s="1"/>
  <c r="E76" i="1"/>
  <c r="F76" i="1"/>
  <c r="K76" i="1" s="1"/>
  <c r="M76" i="1" s="1"/>
  <c r="E78" i="1"/>
  <c r="F78" i="1"/>
  <c r="K78" i="1" s="1"/>
  <c r="M78" i="1" s="1"/>
  <c r="E79" i="1"/>
  <c r="F79" i="1"/>
  <c r="K79" i="1" s="1"/>
  <c r="M79" i="1" s="1"/>
  <c r="E80" i="1"/>
  <c r="F80" i="1"/>
  <c r="K80" i="1" s="1"/>
  <c r="M80" i="1" s="1"/>
  <c r="E185" i="1"/>
  <c r="F185" i="1"/>
  <c r="K185" i="1" s="1"/>
  <c r="M185" i="1" s="1"/>
  <c r="E186" i="1"/>
  <c r="F186" i="1"/>
  <c r="K186" i="1" s="1"/>
  <c r="M186" i="1" s="1"/>
  <c r="BO44" i="1" l="1"/>
  <c r="BQ44" i="1" s="1"/>
  <c r="S217" i="1"/>
  <c r="S216" i="1"/>
  <c r="S215" i="1"/>
  <c r="G10" i="4"/>
  <c r="J230" i="1"/>
  <c r="S218" i="1" l="1"/>
  <c r="J221" i="1"/>
  <c r="J223" i="1" s="1"/>
  <c r="BJ119" i="1"/>
  <c r="BK119" i="1"/>
  <c r="BJ13" i="1"/>
  <c r="BK13" i="1"/>
  <c r="BJ73" i="1"/>
  <c r="BK73" i="1"/>
  <c r="BJ56" i="1"/>
  <c r="BK56" i="1"/>
  <c r="BJ55" i="1"/>
  <c r="BK55" i="1"/>
  <c r="BJ57" i="1"/>
  <c r="BK57" i="1"/>
  <c r="BJ97" i="1"/>
  <c r="BK97" i="1"/>
  <c r="BJ61" i="1"/>
  <c r="BK61" i="1"/>
  <c r="BJ12" i="1"/>
  <c r="BK12" i="1"/>
  <c r="BJ19" i="1"/>
  <c r="BK19" i="1"/>
  <c r="BJ74" i="1"/>
  <c r="BK74" i="1"/>
  <c r="BJ43" i="1"/>
  <c r="BK43" i="1"/>
  <c r="BJ85" i="1"/>
  <c r="BK85" i="1"/>
  <c r="BJ84" i="1"/>
  <c r="BK84" i="1"/>
  <c r="BJ39" i="1"/>
  <c r="BK39" i="1"/>
  <c r="BJ38" i="1"/>
  <c r="BK38" i="1"/>
  <c r="BJ40" i="1"/>
  <c r="BK40" i="1"/>
  <c r="BJ37" i="1"/>
  <c r="BK37" i="1"/>
  <c r="BJ42" i="1"/>
  <c r="BK42" i="1"/>
  <c r="BJ41" i="1"/>
  <c r="BK41" i="1"/>
  <c r="BJ53" i="1"/>
  <c r="BK53" i="1"/>
  <c r="BJ27" i="1"/>
  <c r="BK27" i="1"/>
  <c r="BJ82" i="1"/>
  <c r="BK82" i="1"/>
  <c r="BJ86" i="1"/>
  <c r="BK86" i="1"/>
  <c r="BJ87" i="1"/>
  <c r="BK87" i="1"/>
  <c r="BJ88" i="1"/>
  <c r="BK88" i="1"/>
  <c r="BJ89" i="1"/>
  <c r="BK89" i="1"/>
  <c r="BJ93" i="1"/>
  <c r="BK93" i="1"/>
  <c r="BJ96" i="1"/>
  <c r="BK96" i="1"/>
  <c r="BJ77" i="1"/>
  <c r="BK77" i="1"/>
  <c r="BJ76" i="1"/>
  <c r="BK76" i="1"/>
  <c r="BJ135" i="1"/>
  <c r="BK135" i="1"/>
  <c r="BJ69" i="1"/>
  <c r="BK69" i="1"/>
  <c r="BJ68" i="1"/>
  <c r="BK68" i="1"/>
  <c r="BJ45" i="1"/>
  <c r="BK45" i="1"/>
  <c r="BJ16" i="1"/>
  <c r="BK16" i="1"/>
  <c r="BJ10" i="1"/>
  <c r="BK10" i="1"/>
  <c r="BJ52" i="1"/>
  <c r="BK52" i="1"/>
  <c r="BJ35" i="1"/>
  <c r="BK35" i="1"/>
  <c r="BJ36" i="1"/>
  <c r="BK36" i="1"/>
  <c r="BJ78" i="1"/>
  <c r="BK78" i="1"/>
  <c r="BJ79" i="1"/>
  <c r="BK79" i="1"/>
  <c r="BJ80" i="1"/>
  <c r="BK80" i="1"/>
  <c r="BJ150" i="1"/>
  <c r="BK150" i="1"/>
  <c r="BJ58" i="1"/>
  <c r="BK58" i="1"/>
  <c r="BJ14" i="1"/>
  <c r="BK14" i="1"/>
  <c r="BJ24" i="1"/>
  <c r="BK24" i="1"/>
  <c r="BJ25" i="1"/>
  <c r="BK25" i="1"/>
  <c r="BJ26" i="1"/>
  <c r="BK26" i="1"/>
  <c r="BJ23" i="1"/>
  <c r="BK23" i="1"/>
  <c r="BJ22" i="1"/>
  <c r="BK22" i="1"/>
  <c r="BJ83" i="1"/>
  <c r="BK83" i="1"/>
  <c r="BJ33" i="1"/>
  <c r="BK33" i="1"/>
  <c r="BJ34" i="1"/>
  <c r="BK34" i="1"/>
  <c r="BJ32" i="1"/>
  <c r="BK32" i="1"/>
  <c r="BJ92" i="1"/>
  <c r="BK92" i="1"/>
  <c r="BJ106" i="1"/>
  <c r="BK106" i="1"/>
  <c r="BJ30" i="1"/>
  <c r="BK30" i="1"/>
  <c r="BJ54" i="1"/>
  <c r="BK54" i="1"/>
  <c r="BJ59" i="1"/>
  <c r="BK59" i="1"/>
  <c r="BJ71" i="1"/>
  <c r="BK71" i="1"/>
  <c r="BJ15" i="1"/>
  <c r="BK15" i="1"/>
  <c r="BJ62" i="1"/>
  <c r="BK62" i="1"/>
  <c r="BJ46" i="1"/>
  <c r="BK46" i="1"/>
  <c r="BJ72" i="1"/>
  <c r="BK72" i="1"/>
  <c r="BJ29" i="1"/>
  <c r="BK29" i="1"/>
  <c r="BJ31" i="1"/>
  <c r="BK31" i="1"/>
  <c r="BJ65" i="1"/>
  <c r="BK65" i="1"/>
  <c r="BJ64" i="1"/>
  <c r="BK64" i="1"/>
  <c r="BJ70" i="1"/>
  <c r="BK70" i="1"/>
  <c r="BJ18" i="1"/>
  <c r="BK18" i="1"/>
  <c r="BJ49" i="1"/>
  <c r="BK49" i="1"/>
  <c r="BJ51" i="1"/>
  <c r="BK51" i="1"/>
  <c r="BJ50" i="1"/>
  <c r="BK50" i="1"/>
  <c r="BJ174" i="1"/>
  <c r="BK174" i="1"/>
  <c r="BJ145" i="1"/>
  <c r="BK145" i="1"/>
  <c r="BJ147" i="1"/>
  <c r="BK147" i="1"/>
  <c r="BJ164" i="1"/>
  <c r="BK164" i="1"/>
  <c r="BJ140" i="1"/>
  <c r="BK140" i="1"/>
  <c r="BJ91" i="1"/>
  <c r="BK91" i="1"/>
  <c r="BJ28" i="1"/>
  <c r="BK28" i="1"/>
  <c r="BJ17" i="1"/>
  <c r="BK17" i="1"/>
  <c r="BJ21" i="1"/>
  <c r="BK21" i="1"/>
  <c r="BJ75" i="1"/>
  <c r="BK75" i="1"/>
  <c r="BJ99" i="1"/>
  <c r="BK99" i="1"/>
  <c r="BJ11" i="1"/>
  <c r="BK11" i="1"/>
  <c r="BJ194" i="1"/>
  <c r="BK194" i="1"/>
  <c r="BJ66" i="1"/>
  <c r="BK66" i="1"/>
  <c r="BJ63" i="1"/>
  <c r="BK63" i="1"/>
  <c r="BJ94" i="1"/>
  <c r="BK94" i="1"/>
  <c r="BJ95" i="1"/>
  <c r="BK95" i="1"/>
  <c r="BJ20" i="1"/>
  <c r="BK20" i="1"/>
  <c r="BJ48" i="1"/>
  <c r="BK48" i="1"/>
  <c r="BJ47" i="1"/>
  <c r="BK47" i="1"/>
  <c r="BJ155" i="1"/>
  <c r="BK155" i="1"/>
  <c r="BJ188" i="1"/>
  <c r="BK188" i="1"/>
  <c r="BJ67" i="1"/>
  <c r="BK67" i="1"/>
  <c r="BJ198" i="1"/>
  <c r="BK198" i="1"/>
  <c r="BJ129" i="1"/>
  <c r="BK129" i="1"/>
  <c r="BJ184" i="1"/>
  <c r="BK184" i="1"/>
  <c r="BJ158" i="1"/>
  <c r="BK158" i="1"/>
  <c r="BJ128" i="1"/>
  <c r="BK128" i="1"/>
  <c r="BJ123" i="1"/>
  <c r="BK123" i="1"/>
  <c r="BJ137" i="1"/>
  <c r="BK137" i="1"/>
  <c r="BJ104" i="1"/>
  <c r="BK104" i="1"/>
  <c r="BJ185" i="1"/>
  <c r="BK185" i="1"/>
  <c r="BJ187" i="1"/>
  <c r="BK187" i="1"/>
  <c r="BJ152" i="1"/>
  <c r="BK152" i="1"/>
  <c r="BJ190" i="1"/>
  <c r="BK190" i="1"/>
  <c r="BJ127" i="1"/>
  <c r="BK127" i="1"/>
  <c r="BJ102" i="1"/>
  <c r="BK102" i="1"/>
  <c r="BJ166" i="1"/>
  <c r="BK166" i="1"/>
  <c r="BJ163" i="1"/>
  <c r="BK163" i="1"/>
  <c r="BJ115" i="1"/>
  <c r="BK115" i="1"/>
  <c r="BJ172" i="1"/>
  <c r="BK172" i="1"/>
  <c r="BJ180" i="1"/>
  <c r="BK180" i="1"/>
  <c r="BJ110" i="1"/>
  <c r="BK110" i="1"/>
  <c r="BJ113" i="1"/>
  <c r="BK113" i="1"/>
  <c r="BJ199" i="1"/>
  <c r="BK199" i="1"/>
  <c r="BJ143" i="1"/>
  <c r="BK143" i="1"/>
  <c r="BJ154" i="1"/>
  <c r="BK154" i="1"/>
  <c r="BJ149" i="1"/>
  <c r="BK149" i="1"/>
  <c r="BJ189" i="1"/>
  <c r="BK189" i="1"/>
  <c r="BJ136" i="1"/>
  <c r="BK136" i="1"/>
  <c r="BJ139" i="1"/>
  <c r="BK139" i="1"/>
  <c r="BJ153" i="1"/>
  <c r="BK153" i="1"/>
  <c r="BJ165" i="1"/>
  <c r="BK165" i="1"/>
  <c r="BJ118" i="1"/>
  <c r="BK118" i="1"/>
  <c r="BJ121" i="1"/>
  <c r="BK121" i="1"/>
  <c r="BJ173" i="1"/>
  <c r="BK173" i="1"/>
  <c r="BJ100" i="1"/>
  <c r="BK100" i="1"/>
  <c r="BJ148" i="1"/>
  <c r="BK148" i="1"/>
  <c r="BJ156" i="1"/>
  <c r="BK156" i="1"/>
  <c r="BJ108" i="1"/>
  <c r="BK108" i="1"/>
  <c r="BJ186" i="1"/>
  <c r="BK186" i="1"/>
  <c r="BJ181" i="1"/>
  <c r="BK181" i="1"/>
  <c r="BJ98" i="1"/>
  <c r="BK98" i="1"/>
  <c r="BJ146" i="1"/>
  <c r="BK146" i="1"/>
  <c r="BJ161" i="1"/>
  <c r="BK161" i="1"/>
  <c r="BJ183" i="1"/>
  <c r="BK183" i="1"/>
  <c r="BJ193" i="1"/>
  <c r="BK193" i="1"/>
  <c r="BJ114" i="1"/>
  <c r="BK114" i="1"/>
  <c r="BJ60" i="1"/>
  <c r="BK60" i="1"/>
  <c r="BJ178" i="1"/>
  <c r="BK178" i="1"/>
  <c r="BJ107" i="1"/>
  <c r="BK107" i="1"/>
  <c r="BJ191" i="1"/>
  <c r="BK191" i="1"/>
  <c r="BJ134" i="1"/>
  <c r="BK134" i="1"/>
  <c r="BJ112" i="1"/>
  <c r="BK112" i="1"/>
  <c r="BJ182" i="1"/>
  <c r="BK182" i="1"/>
  <c r="BJ200" i="1"/>
  <c r="BK200" i="1"/>
  <c r="BJ157" i="1"/>
  <c r="BK157" i="1"/>
  <c r="BJ130" i="1"/>
  <c r="BK130" i="1"/>
  <c r="BJ142" i="1"/>
  <c r="BK142" i="1"/>
  <c r="BJ132" i="1"/>
  <c r="BK132" i="1"/>
  <c r="BJ120" i="1"/>
  <c r="BK120" i="1"/>
  <c r="BJ176" i="1"/>
  <c r="BK176" i="1"/>
  <c r="BJ167" i="1"/>
  <c r="BK167" i="1"/>
  <c r="BJ151" i="1"/>
  <c r="BK151" i="1"/>
  <c r="BJ124" i="1"/>
  <c r="BK124" i="1"/>
  <c r="BJ195" i="1"/>
  <c r="BK195" i="1"/>
  <c r="BJ141" i="1"/>
  <c r="BK141" i="1"/>
  <c r="BJ179" i="1"/>
  <c r="BK179" i="1"/>
  <c r="BJ197" i="1"/>
  <c r="BK197" i="1"/>
  <c r="BJ138" i="1"/>
  <c r="BK138" i="1"/>
  <c r="BJ122" i="1"/>
  <c r="BK122" i="1"/>
  <c r="BJ116" i="1"/>
  <c r="BK116" i="1"/>
  <c r="BJ117" i="1"/>
  <c r="BK117" i="1"/>
  <c r="BJ144" i="1"/>
  <c r="BK144" i="1"/>
  <c r="BJ101" i="1"/>
  <c r="BK101" i="1"/>
  <c r="BJ162" i="1"/>
  <c r="BK162" i="1"/>
  <c r="BJ133" i="1"/>
  <c r="BK133" i="1"/>
  <c r="BJ159" i="1"/>
  <c r="BK159" i="1"/>
  <c r="BJ171" i="1"/>
  <c r="BK171" i="1"/>
  <c r="BJ109" i="1"/>
  <c r="BK109" i="1"/>
  <c r="BJ105" i="1"/>
  <c r="BK105" i="1"/>
  <c r="BJ196" i="1"/>
  <c r="BK196" i="1"/>
  <c r="BJ175" i="1"/>
  <c r="BK175" i="1"/>
  <c r="BJ201" i="1"/>
  <c r="BK201" i="1"/>
  <c r="BJ192" i="1"/>
  <c r="BK192" i="1"/>
  <c r="BJ125" i="1"/>
  <c r="BK125" i="1"/>
  <c r="BJ126" i="1"/>
  <c r="BK126" i="1"/>
  <c r="BJ131" i="1"/>
  <c r="BK131" i="1"/>
  <c r="BJ103" i="1"/>
  <c r="BK103" i="1"/>
  <c r="BJ177" i="1"/>
  <c r="BK177" i="1"/>
  <c r="BJ160" i="1"/>
  <c r="BK160" i="1"/>
  <c r="BJ168" i="1"/>
  <c r="BK168" i="1"/>
  <c r="BJ169" i="1"/>
  <c r="BK169" i="1"/>
  <c r="BJ170" i="1"/>
  <c r="BK170" i="1"/>
  <c r="BJ111" i="1"/>
  <c r="BK111" i="1"/>
  <c r="BK81" i="1"/>
  <c r="BJ81" i="1"/>
  <c r="BH81" i="1"/>
  <c r="BH119" i="1"/>
  <c r="BH13" i="1"/>
  <c r="BH73" i="1"/>
  <c r="BH56" i="1"/>
  <c r="BH55" i="1"/>
  <c r="BH57" i="1"/>
  <c r="BH97" i="1"/>
  <c r="BH61" i="1"/>
  <c r="BH12" i="1"/>
  <c r="BH19" i="1"/>
  <c r="BH74" i="1"/>
  <c r="BH43" i="1"/>
  <c r="BH85" i="1"/>
  <c r="BH84" i="1"/>
  <c r="BH39" i="1"/>
  <c r="BH38" i="1"/>
  <c r="BH40" i="1"/>
  <c r="BH37" i="1"/>
  <c r="BH42" i="1"/>
  <c r="BH41" i="1"/>
  <c r="BH53" i="1"/>
  <c r="BH27" i="1"/>
  <c r="BH82" i="1"/>
  <c r="BH86" i="1"/>
  <c r="BH87" i="1"/>
  <c r="BH88" i="1"/>
  <c r="BH89" i="1"/>
  <c r="BH93" i="1"/>
  <c r="BH96" i="1"/>
  <c r="BH77" i="1"/>
  <c r="BH76" i="1"/>
  <c r="BH135" i="1"/>
  <c r="BH69" i="1"/>
  <c r="BH68" i="1"/>
  <c r="BH45" i="1"/>
  <c r="BH16" i="1"/>
  <c r="BH10" i="1"/>
  <c r="BH52" i="1"/>
  <c r="BH35" i="1"/>
  <c r="BH36" i="1"/>
  <c r="BH78" i="1"/>
  <c r="BH79" i="1"/>
  <c r="BH80" i="1"/>
  <c r="BH150" i="1"/>
  <c r="BH58" i="1"/>
  <c r="BH14" i="1"/>
  <c r="BH24" i="1"/>
  <c r="BH25" i="1"/>
  <c r="BH26" i="1"/>
  <c r="BH23" i="1"/>
  <c r="BH22" i="1"/>
  <c r="BH83" i="1"/>
  <c r="BH33" i="1"/>
  <c r="BH34" i="1"/>
  <c r="BH32" i="1"/>
  <c r="BH92" i="1"/>
  <c r="BH106" i="1"/>
  <c r="BH30" i="1"/>
  <c r="BH54" i="1"/>
  <c r="BH59" i="1"/>
  <c r="BH71" i="1"/>
  <c r="BH15" i="1"/>
  <c r="BH62" i="1"/>
  <c r="BH46" i="1"/>
  <c r="BH72" i="1"/>
  <c r="BH29" i="1"/>
  <c r="BH31" i="1"/>
  <c r="BH65" i="1"/>
  <c r="BH64" i="1"/>
  <c r="BH70" i="1"/>
  <c r="BH18" i="1"/>
  <c r="BH49" i="1"/>
  <c r="BH51" i="1"/>
  <c r="BH50" i="1"/>
  <c r="BH174" i="1"/>
  <c r="BH145" i="1"/>
  <c r="BH147" i="1"/>
  <c r="BH164" i="1"/>
  <c r="BH140" i="1"/>
  <c r="BH91" i="1"/>
  <c r="BH28" i="1"/>
  <c r="BH17" i="1"/>
  <c r="BH21" i="1"/>
  <c r="BH75" i="1"/>
  <c r="BH99" i="1"/>
  <c r="BH11" i="1"/>
  <c r="BH194" i="1"/>
  <c r="BH66" i="1"/>
  <c r="BH63" i="1"/>
  <c r="BH94" i="1"/>
  <c r="BH95" i="1"/>
  <c r="BH20" i="1"/>
  <c r="BH48" i="1"/>
  <c r="BH47" i="1"/>
  <c r="BH155" i="1"/>
  <c r="BH188" i="1"/>
  <c r="BH67" i="1"/>
  <c r="BH198" i="1"/>
  <c r="BH129" i="1"/>
  <c r="BH184" i="1"/>
  <c r="BH158" i="1"/>
  <c r="BH128" i="1"/>
  <c r="BH123" i="1"/>
  <c r="BH137" i="1"/>
  <c r="BH104" i="1"/>
  <c r="BH185" i="1"/>
  <c r="BH187" i="1"/>
  <c r="BH152" i="1"/>
  <c r="BH190" i="1"/>
  <c r="BH127" i="1"/>
  <c r="BH102" i="1"/>
  <c r="BH166" i="1"/>
  <c r="BH163" i="1"/>
  <c r="BH115" i="1"/>
  <c r="BH172" i="1"/>
  <c r="BH180" i="1"/>
  <c r="BH110" i="1"/>
  <c r="BH113" i="1"/>
  <c r="BH199" i="1"/>
  <c r="BH143" i="1"/>
  <c r="BH154" i="1"/>
  <c r="BH149" i="1"/>
  <c r="BH189" i="1"/>
  <c r="BH136" i="1"/>
  <c r="BH139" i="1"/>
  <c r="BH153" i="1"/>
  <c r="BH165" i="1"/>
  <c r="BH118" i="1"/>
  <c r="BH121" i="1"/>
  <c r="BH173" i="1"/>
  <c r="BH100" i="1"/>
  <c r="BH148" i="1"/>
  <c r="BH156" i="1"/>
  <c r="BH108" i="1"/>
  <c r="BH186" i="1"/>
  <c r="BH181" i="1"/>
  <c r="BH98" i="1"/>
  <c r="BH146" i="1"/>
  <c r="BH161" i="1"/>
  <c r="BH183" i="1"/>
  <c r="BH193" i="1"/>
  <c r="BH114" i="1"/>
  <c r="BH60" i="1"/>
  <c r="BH178" i="1"/>
  <c r="BH107" i="1"/>
  <c r="BH191" i="1"/>
  <c r="BH134" i="1"/>
  <c r="BH112" i="1"/>
  <c r="BH182" i="1"/>
  <c r="BH200" i="1"/>
  <c r="BH157" i="1"/>
  <c r="BH130" i="1"/>
  <c r="BH142" i="1"/>
  <c r="BH132" i="1"/>
  <c r="BH120" i="1"/>
  <c r="BH176" i="1"/>
  <c r="BH167" i="1"/>
  <c r="BH151" i="1"/>
  <c r="BH124" i="1"/>
  <c r="BH195" i="1"/>
  <c r="BH141" i="1"/>
  <c r="BH179" i="1"/>
  <c r="BH197" i="1"/>
  <c r="BH138" i="1"/>
  <c r="BH122" i="1"/>
  <c r="BH116" i="1"/>
  <c r="BH117" i="1"/>
  <c r="BH144" i="1"/>
  <c r="BH101" i="1"/>
  <c r="BH162" i="1"/>
  <c r="BH133" i="1"/>
  <c r="BH159" i="1"/>
  <c r="BH171" i="1"/>
  <c r="BH109" i="1"/>
  <c r="BH105" i="1"/>
  <c r="BH196" i="1"/>
  <c r="BH175" i="1"/>
  <c r="BH201" i="1"/>
  <c r="BH192" i="1"/>
  <c r="BH125" i="1"/>
  <c r="BH126" i="1"/>
  <c r="BH131" i="1"/>
  <c r="BH103" i="1"/>
  <c r="BH177" i="1"/>
  <c r="BH160" i="1"/>
  <c r="BH168" i="1"/>
  <c r="BH169" i="1"/>
  <c r="BH170" i="1"/>
  <c r="BH111" i="1"/>
  <c r="F111" i="1"/>
  <c r="K111" i="1" s="1"/>
  <c r="M111" i="1" s="1"/>
  <c r="F160" i="1"/>
  <c r="K160" i="1" s="1"/>
  <c r="M160" i="1" s="1"/>
  <c r="F103" i="1"/>
  <c r="K103" i="1" s="1"/>
  <c r="M103" i="1" s="1"/>
  <c r="F131" i="1"/>
  <c r="K131" i="1" s="1"/>
  <c r="M131" i="1" s="1"/>
  <c r="F126" i="1"/>
  <c r="K126" i="1" s="1"/>
  <c r="M126" i="1" s="1"/>
  <c r="F125" i="1"/>
  <c r="K125" i="1" s="1"/>
  <c r="M125" i="1" s="1"/>
  <c r="F192" i="1"/>
  <c r="K192" i="1" s="1"/>
  <c r="M192" i="1" s="1"/>
  <c r="F201" i="1"/>
  <c r="K201" i="1" s="1"/>
  <c r="M201" i="1" s="1"/>
  <c r="F196" i="1"/>
  <c r="K196" i="1" s="1"/>
  <c r="M196" i="1" s="1"/>
  <c r="F105" i="1"/>
  <c r="F109" i="1"/>
  <c r="K109" i="1" s="1"/>
  <c r="M109" i="1" s="1"/>
  <c r="F159" i="1"/>
  <c r="K159" i="1" s="1"/>
  <c r="M159" i="1" s="1"/>
  <c r="F133" i="1"/>
  <c r="K133" i="1" s="1"/>
  <c r="M133" i="1" s="1"/>
  <c r="F162" i="1"/>
  <c r="K162" i="1" s="1"/>
  <c r="M162" i="1" s="1"/>
  <c r="F101" i="1"/>
  <c r="K101" i="1" s="1"/>
  <c r="M101" i="1" s="1"/>
  <c r="F144" i="1"/>
  <c r="K144" i="1" s="1"/>
  <c r="M144" i="1" s="1"/>
  <c r="F117" i="1"/>
  <c r="K117" i="1" s="1"/>
  <c r="M117" i="1" s="1"/>
  <c r="F116" i="1"/>
  <c r="F122" i="1"/>
  <c r="K122" i="1" s="1"/>
  <c r="M122" i="1" s="1"/>
  <c r="F138" i="1"/>
  <c r="K138" i="1" s="1"/>
  <c r="M138" i="1" s="1"/>
  <c r="F197" i="1"/>
  <c r="K197" i="1" s="1"/>
  <c r="M197" i="1" s="1"/>
  <c r="F141" i="1"/>
  <c r="K141" i="1" s="1"/>
  <c r="M141" i="1" s="1"/>
  <c r="F195" i="1"/>
  <c r="K195" i="1" s="1"/>
  <c r="M195" i="1" s="1"/>
  <c r="F124" i="1"/>
  <c r="K124" i="1" s="1"/>
  <c r="M124" i="1" s="1"/>
  <c r="F151" i="1"/>
  <c r="K151" i="1" s="1"/>
  <c r="M151" i="1" s="1"/>
  <c r="F167" i="1"/>
  <c r="K167" i="1" s="1"/>
  <c r="M167" i="1" s="1"/>
  <c r="F120" i="1"/>
  <c r="K120" i="1" s="1"/>
  <c r="M120" i="1" s="1"/>
  <c r="F132" i="1"/>
  <c r="K132" i="1" s="1"/>
  <c r="M132" i="1" s="1"/>
  <c r="F142" i="1"/>
  <c r="K142" i="1" s="1"/>
  <c r="M142" i="1" s="1"/>
  <c r="F130" i="1"/>
  <c r="K130" i="1" s="1"/>
  <c r="M130" i="1" s="1"/>
  <c r="F157" i="1"/>
  <c r="K157" i="1" s="1"/>
  <c r="M157" i="1" s="1"/>
  <c r="F200" i="1"/>
  <c r="K200" i="1" s="1"/>
  <c r="M200" i="1" s="1"/>
  <c r="F112" i="1"/>
  <c r="K112" i="1" s="1"/>
  <c r="M112" i="1" s="1"/>
  <c r="F134" i="1"/>
  <c r="K134" i="1" s="1"/>
  <c r="M134" i="1" s="1"/>
  <c r="F191" i="1"/>
  <c r="K191" i="1" s="1"/>
  <c r="M191" i="1" s="1"/>
  <c r="F107" i="1"/>
  <c r="K107" i="1" s="1"/>
  <c r="M107" i="1" s="1"/>
  <c r="F60" i="1"/>
  <c r="K60" i="1" s="1"/>
  <c r="M60" i="1" s="1"/>
  <c r="F114" i="1"/>
  <c r="K114" i="1" s="1"/>
  <c r="M114" i="1" s="1"/>
  <c r="F193" i="1"/>
  <c r="K193" i="1" s="1"/>
  <c r="M193" i="1" s="1"/>
  <c r="F161" i="1"/>
  <c r="K161" i="1" s="1"/>
  <c r="M161" i="1" s="1"/>
  <c r="F146" i="1"/>
  <c r="K146" i="1" s="1"/>
  <c r="M146" i="1" s="1"/>
  <c r="F98" i="1"/>
  <c r="K98" i="1" s="1"/>
  <c r="M98" i="1" s="1"/>
  <c r="F108" i="1"/>
  <c r="K108" i="1" s="1"/>
  <c r="M108" i="1" s="1"/>
  <c r="F156" i="1"/>
  <c r="K156" i="1" s="1"/>
  <c r="M156" i="1" s="1"/>
  <c r="F148" i="1"/>
  <c r="K148" i="1" s="1"/>
  <c r="M148" i="1" s="1"/>
  <c r="F100" i="1"/>
  <c r="K100" i="1" s="1"/>
  <c r="M100" i="1" s="1"/>
  <c r="F121" i="1"/>
  <c r="K121" i="1" s="1"/>
  <c r="M121" i="1" s="1"/>
  <c r="F118" i="1"/>
  <c r="K118" i="1" s="1"/>
  <c r="M118" i="1" s="1"/>
  <c r="F165" i="1"/>
  <c r="K165" i="1" s="1"/>
  <c r="M165" i="1" s="1"/>
  <c r="F153" i="1"/>
  <c r="K153" i="1" s="1"/>
  <c r="M153" i="1" s="1"/>
  <c r="F139" i="1"/>
  <c r="K139" i="1" s="1"/>
  <c r="M139" i="1" s="1"/>
  <c r="F136" i="1"/>
  <c r="K136" i="1" s="1"/>
  <c r="M136" i="1" s="1"/>
  <c r="F189" i="1"/>
  <c r="K189" i="1" s="1"/>
  <c r="M189" i="1" s="1"/>
  <c r="F149" i="1"/>
  <c r="K149" i="1" s="1"/>
  <c r="M149" i="1" s="1"/>
  <c r="F154" i="1"/>
  <c r="K154" i="1" s="1"/>
  <c r="M154" i="1" s="1"/>
  <c r="F143" i="1"/>
  <c r="K143" i="1" s="1"/>
  <c r="M143" i="1" s="1"/>
  <c r="F199" i="1"/>
  <c r="K199" i="1" s="1"/>
  <c r="M199" i="1" s="1"/>
  <c r="F113" i="1"/>
  <c r="K113" i="1" s="1"/>
  <c r="M113" i="1" s="1"/>
  <c r="F110" i="1"/>
  <c r="K110" i="1" s="1"/>
  <c r="M110" i="1" s="1"/>
  <c r="F115" i="1"/>
  <c r="K115" i="1" s="1"/>
  <c r="M115" i="1" s="1"/>
  <c r="F163" i="1"/>
  <c r="K163" i="1" s="1"/>
  <c r="M163" i="1" s="1"/>
  <c r="F166" i="1"/>
  <c r="K166" i="1" s="1"/>
  <c r="M166" i="1" s="1"/>
  <c r="F102" i="1"/>
  <c r="K102" i="1" s="1"/>
  <c r="M102" i="1" s="1"/>
  <c r="F127" i="1"/>
  <c r="K127" i="1" s="1"/>
  <c r="M127" i="1" s="1"/>
  <c r="F190" i="1"/>
  <c r="K190" i="1" s="1"/>
  <c r="M190" i="1" s="1"/>
  <c r="F152" i="1"/>
  <c r="K152" i="1" s="1"/>
  <c r="M152" i="1" s="1"/>
  <c r="F187" i="1"/>
  <c r="K187" i="1" s="1"/>
  <c r="M187" i="1" s="1"/>
  <c r="F104" i="1"/>
  <c r="K104" i="1" s="1"/>
  <c r="M104" i="1" s="1"/>
  <c r="F137" i="1"/>
  <c r="K137" i="1" s="1"/>
  <c r="M137" i="1" s="1"/>
  <c r="F123" i="1"/>
  <c r="K123" i="1" s="1"/>
  <c r="M123" i="1" s="1"/>
  <c r="F128" i="1"/>
  <c r="K128" i="1" s="1"/>
  <c r="M128" i="1" s="1"/>
  <c r="F158" i="1"/>
  <c r="K158" i="1" s="1"/>
  <c r="M158" i="1" s="1"/>
  <c r="F129" i="1"/>
  <c r="K129" i="1" s="1"/>
  <c r="M129" i="1" s="1"/>
  <c r="F198" i="1"/>
  <c r="K198" i="1" s="1"/>
  <c r="M198" i="1" s="1"/>
  <c r="F67" i="1"/>
  <c r="K67" i="1" s="1"/>
  <c r="M67" i="1" s="1"/>
  <c r="F188" i="1"/>
  <c r="K188" i="1" s="1"/>
  <c r="M188" i="1" s="1"/>
  <c r="F155" i="1"/>
  <c r="K155" i="1" s="1"/>
  <c r="M155" i="1" s="1"/>
  <c r="F47" i="1"/>
  <c r="K47" i="1" s="1"/>
  <c r="M47" i="1" s="1"/>
  <c r="F48" i="1"/>
  <c r="K48" i="1" s="1"/>
  <c r="M48" i="1" s="1"/>
  <c r="F20" i="1"/>
  <c r="K20" i="1" s="1"/>
  <c r="M20" i="1" s="1"/>
  <c r="F95" i="1"/>
  <c r="K95" i="1" s="1"/>
  <c r="M95" i="1" s="1"/>
  <c r="F94" i="1"/>
  <c r="K94" i="1" s="1"/>
  <c r="M94" i="1" s="1"/>
  <c r="F63" i="1"/>
  <c r="K63" i="1" s="1"/>
  <c r="M63" i="1" s="1"/>
  <c r="F66" i="1"/>
  <c r="K66" i="1" s="1"/>
  <c r="M66" i="1" s="1"/>
  <c r="F194" i="1"/>
  <c r="K194" i="1" s="1"/>
  <c r="M194" i="1" s="1"/>
  <c r="F11" i="1"/>
  <c r="K11" i="1" s="1"/>
  <c r="M11" i="1" s="1"/>
  <c r="F99" i="1"/>
  <c r="K99" i="1" s="1"/>
  <c r="M99" i="1" s="1"/>
  <c r="F21" i="1"/>
  <c r="K21" i="1" s="1"/>
  <c r="M21" i="1" s="1"/>
  <c r="F17" i="1"/>
  <c r="K17" i="1" s="1"/>
  <c r="M17" i="1" s="1"/>
  <c r="F28" i="1"/>
  <c r="K28" i="1" s="1"/>
  <c r="F91" i="1"/>
  <c r="K91" i="1" s="1"/>
  <c r="F140" i="1"/>
  <c r="K140" i="1" s="1"/>
  <c r="M140" i="1" s="1"/>
  <c r="F164" i="1"/>
  <c r="K164" i="1" s="1"/>
  <c r="M164" i="1" s="1"/>
  <c r="F147" i="1"/>
  <c r="K147" i="1" s="1"/>
  <c r="M147" i="1" s="1"/>
  <c r="F145" i="1"/>
  <c r="K145" i="1" s="1"/>
  <c r="M145" i="1" s="1"/>
  <c r="F50" i="1"/>
  <c r="K50" i="1" s="1"/>
  <c r="M50" i="1" s="1"/>
  <c r="F51" i="1"/>
  <c r="K51" i="1" s="1"/>
  <c r="M51" i="1" s="1"/>
  <c r="F49" i="1"/>
  <c r="K49" i="1" s="1"/>
  <c r="M49" i="1" s="1"/>
  <c r="F18" i="1"/>
  <c r="K18" i="1" s="1"/>
  <c r="M18" i="1" s="1"/>
  <c r="F64" i="1"/>
  <c r="K64" i="1" s="1"/>
  <c r="M64" i="1" s="1"/>
  <c r="F65" i="1"/>
  <c r="K65" i="1" s="1"/>
  <c r="M65" i="1" s="1"/>
  <c r="F31" i="1"/>
  <c r="K31" i="1" s="1"/>
  <c r="M31" i="1" s="1"/>
  <c r="F29" i="1"/>
  <c r="K29" i="1" s="1"/>
  <c r="M29" i="1" s="1"/>
  <c r="F46" i="1"/>
  <c r="K46" i="1" s="1"/>
  <c r="F62" i="1"/>
  <c r="K62" i="1" s="1"/>
  <c r="M62" i="1" s="1"/>
  <c r="F15" i="1"/>
  <c r="K15" i="1" s="1"/>
  <c r="M15" i="1" s="1"/>
  <c r="F59" i="1"/>
  <c r="K59" i="1" s="1"/>
  <c r="M59" i="1" s="1"/>
  <c r="F54" i="1"/>
  <c r="K54" i="1" s="1"/>
  <c r="M54" i="1" s="1"/>
  <c r="F30" i="1"/>
  <c r="K30" i="1" s="1"/>
  <c r="F106" i="1"/>
  <c r="K106" i="1" s="1"/>
  <c r="M106" i="1" s="1"/>
  <c r="F92" i="1"/>
  <c r="K92" i="1" s="1"/>
  <c r="M92" i="1" s="1"/>
  <c r="F32" i="1"/>
  <c r="K32" i="1" s="1"/>
  <c r="M32" i="1" s="1"/>
  <c r="F34" i="1"/>
  <c r="K34" i="1" s="1"/>
  <c r="M34" i="1" s="1"/>
  <c r="F33" i="1"/>
  <c r="K33" i="1" s="1"/>
  <c r="M33" i="1" s="1"/>
  <c r="F83" i="1"/>
  <c r="K83" i="1" s="1"/>
  <c r="M83" i="1" s="1"/>
  <c r="F22" i="1"/>
  <c r="K22" i="1" s="1"/>
  <c r="M22" i="1" s="1"/>
  <c r="F23" i="1"/>
  <c r="K23" i="1" s="1"/>
  <c r="M23" i="1" s="1"/>
  <c r="F26" i="1"/>
  <c r="K26" i="1" s="1"/>
  <c r="M26" i="1" s="1"/>
  <c r="F24" i="1"/>
  <c r="K24" i="1" s="1"/>
  <c r="M24" i="1" s="1"/>
  <c r="F14" i="1"/>
  <c r="K14" i="1" s="1"/>
  <c r="M14" i="1" s="1"/>
  <c r="F58" i="1"/>
  <c r="K58" i="1" s="1"/>
  <c r="M58" i="1" s="1"/>
  <c r="F150" i="1"/>
  <c r="K150" i="1" s="1"/>
  <c r="M150" i="1" s="1"/>
  <c r="F36" i="1"/>
  <c r="K36" i="1" s="1"/>
  <c r="M36" i="1" s="1"/>
  <c r="F35" i="1"/>
  <c r="K35" i="1" s="1"/>
  <c r="M35" i="1" s="1"/>
  <c r="F52" i="1"/>
  <c r="K52" i="1" s="1"/>
  <c r="M52" i="1" s="1"/>
  <c r="F10" i="1"/>
  <c r="K10" i="1" s="1"/>
  <c r="M10" i="1" s="1"/>
  <c r="F16" i="1"/>
  <c r="K16" i="1" s="1"/>
  <c r="M16" i="1" s="1"/>
  <c r="F45" i="1"/>
  <c r="K45" i="1" s="1"/>
  <c r="M45" i="1" s="1"/>
  <c r="F68" i="1"/>
  <c r="K68" i="1" s="1"/>
  <c r="M68" i="1" s="1"/>
  <c r="F135" i="1"/>
  <c r="K135" i="1" s="1"/>
  <c r="M135" i="1" s="1"/>
  <c r="F96" i="1"/>
  <c r="K96" i="1" s="1"/>
  <c r="M96" i="1" s="1"/>
  <c r="F93" i="1"/>
  <c r="K93" i="1" s="1"/>
  <c r="M93" i="1" s="1"/>
  <c r="F89" i="1"/>
  <c r="K89" i="1" s="1"/>
  <c r="M89" i="1" s="1"/>
  <c r="F88" i="1"/>
  <c r="K88" i="1" s="1"/>
  <c r="M88" i="1" s="1"/>
  <c r="F87" i="1"/>
  <c r="K87" i="1" s="1"/>
  <c r="M87" i="1" s="1"/>
  <c r="F86" i="1"/>
  <c r="K86" i="1" s="1"/>
  <c r="M86" i="1" s="1"/>
  <c r="F82" i="1"/>
  <c r="K82" i="1" s="1"/>
  <c r="M82" i="1" s="1"/>
  <c r="F27" i="1"/>
  <c r="K27" i="1" s="1"/>
  <c r="M27" i="1" s="1"/>
  <c r="F53" i="1"/>
  <c r="K53" i="1" s="1"/>
  <c r="M53" i="1" s="1"/>
  <c r="F41" i="1"/>
  <c r="K41" i="1" s="1"/>
  <c r="M41" i="1" s="1"/>
  <c r="F42" i="1"/>
  <c r="K42" i="1" s="1"/>
  <c r="M42" i="1" s="1"/>
  <c r="F37" i="1"/>
  <c r="K37" i="1" s="1"/>
  <c r="M37" i="1" s="1"/>
  <c r="F40" i="1"/>
  <c r="K40" i="1" s="1"/>
  <c r="M40" i="1" s="1"/>
  <c r="F38" i="1"/>
  <c r="K38" i="1" s="1"/>
  <c r="M38" i="1" s="1"/>
  <c r="F39" i="1"/>
  <c r="K39" i="1" s="1"/>
  <c r="M39" i="1" s="1"/>
  <c r="F84" i="1"/>
  <c r="K84" i="1" s="1"/>
  <c r="M84" i="1" s="1"/>
  <c r="F85" i="1"/>
  <c r="K85" i="1" s="1"/>
  <c r="M85" i="1" s="1"/>
  <c r="F43" i="1"/>
  <c r="K43" i="1" s="1"/>
  <c r="M43" i="1" s="1"/>
  <c r="F19" i="1"/>
  <c r="K19" i="1" s="1"/>
  <c r="M19" i="1" s="1"/>
  <c r="F12" i="1"/>
  <c r="K12" i="1" s="1"/>
  <c r="M12" i="1" s="1"/>
  <c r="F61" i="1"/>
  <c r="K61" i="1" s="1"/>
  <c r="M61" i="1" s="1"/>
  <c r="F97" i="1"/>
  <c r="K97" i="1" s="1"/>
  <c r="M97" i="1" s="1"/>
  <c r="F55" i="1"/>
  <c r="K55" i="1" s="1"/>
  <c r="M55" i="1" s="1"/>
  <c r="F56" i="1"/>
  <c r="K56" i="1" s="1"/>
  <c r="M56" i="1" s="1"/>
  <c r="F13" i="1"/>
  <c r="K13" i="1" s="1"/>
  <c r="M13" i="1" s="1"/>
  <c r="F119" i="1"/>
  <c r="K119" i="1" s="1"/>
  <c r="M119" i="1" s="1"/>
  <c r="F81" i="1"/>
  <c r="BP170" i="1"/>
  <c r="BL170" i="1"/>
  <c r="BI170" i="1"/>
  <c r="BG170" i="1"/>
  <c r="BF170" i="1"/>
  <c r="BE170" i="1"/>
  <c r="BD170" i="1"/>
  <c r="BC170" i="1"/>
  <c r="BB170" i="1"/>
  <c r="BA170" i="1"/>
  <c r="AZ170" i="1"/>
  <c r="AY170" i="1"/>
  <c r="AX170" i="1"/>
  <c r="E159" i="1"/>
  <c r="BP197" i="1"/>
  <c r="BL197" i="1"/>
  <c r="BI197" i="1"/>
  <c r="BG197" i="1"/>
  <c r="BF197" i="1"/>
  <c r="BE197" i="1"/>
  <c r="BD197" i="1"/>
  <c r="BC197" i="1"/>
  <c r="BB197" i="1"/>
  <c r="BA197" i="1"/>
  <c r="AZ197" i="1"/>
  <c r="AY197" i="1"/>
  <c r="AX197" i="1"/>
  <c r="E197" i="1"/>
  <c r="M116" i="1"/>
  <c r="BP97" i="1"/>
  <c r="BL97" i="1"/>
  <c r="BI97" i="1"/>
  <c r="BG97" i="1"/>
  <c r="BF97" i="1"/>
  <c r="BE97" i="1"/>
  <c r="BD97" i="1"/>
  <c r="BC97" i="1"/>
  <c r="BB97" i="1"/>
  <c r="BA97" i="1"/>
  <c r="AZ97" i="1"/>
  <c r="AY97" i="1"/>
  <c r="AX97" i="1"/>
  <c r="E97" i="1"/>
  <c r="BP96" i="1"/>
  <c r="BL96" i="1"/>
  <c r="BI96" i="1"/>
  <c r="BG96" i="1"/>
  <c r="BF96" i="1"/>
  <c r="BE96" i="1"/>
  <c r="BD96" i="1"/>
  <c r="BC96" i="1"/>
  <c r="BB96" i="1"/>
  <c r="BA96" i="1"/>
  <c r="AZ96" i="1"/>
  <c r="AY96" i="1"/>
  <c r="AX96" i="1"/>
  <c r="E96" i="1"/>
  <c r="E119" i="1"/>
  <c r="E13" i="1"/>
  <c r="E56" i="1"/>
  <c r="E55" i="1"/>
  <c r="E61" i="1"/>
  <c r="E12" i="1"/>
  <c r="E19" i="1"/>
  <c r="E43" i="1"/>
  <c r="E85" i="1"/>
  <c r="E84" i="1"/>
  <c r="E39" i="1"/>
  <c r="E38" i="1"/>
  <c r="E40" i="1"/>
  <c r="E37" i="1"/>
  <c r="E42" i="1"/>
  <c r="E41" i="1"/>
  <c r="E53" i="1"/>
  <c r="E27" i="1"/>
  <c r="E82" i="1"/>
  <c r="E86" i="1"/>
  <c r="E87" i="1"/>
  <c r="E88" i="1"/>
  <c r="E89" i="1"/>
  <c r="E93" i="1"/>
  <c r="E135" i="1"/>
  <c r="E68" i="1"/>
  <c r="E45" i="1"/>
  <c r="E16" i="1"/>
  <c r="E10" i="1"/>
  <c r="E52" i="1"/>
  <c r="E35" i="1"/>
  <c r="E36" i="1"/>
  <c r="E150" i="1"/>
  <c r="E58" i="1"/>
  <c r="E14" i="1"/>
  <c r="E24" i="1"/>
  <c r="E26" i="1"/>
  <c r="E23" i="1"/>
  <c r="E22" i="1"/>
  <c r="E83" i="1"/>
  <c r="E33" i="1"/>
  <c r="E34" i="1"/>
  <c r="E32" i="1"/>
  <c r="E92" i="1"/>
  <c r="E106" i="1"/>
  <c r="E30" i="1"/>
  <c r="E54" i="1"/>
  <c r="E59" i="1"/>
  <c r="E15" i="1"/>
  <c r="E62" i="1"/>
  <c r="E46" i="1"/>
  <c r="E29" i="1"/>
  <c r="E31" i="1"/>
  <c r="E65" i="1"/>
  <c r="E64" i="1"/>
  <c r="E18" i="1"/>
  <c r="E49" i="1"/>
  <c r="E51" i="1"/>
  <c r="E50" i="1"/>
  <c r="E145" i="1"/>
  <c r="E147" i="1"/>
  <c r="E164" i="1"/>
  <c r="E140" i="1"/>
  <c r="E91" i="1"/>
  <c r="E28" i="1"/>
  <c r="E17" i="1"/>
  <c r="E21" i="1"/>
  <c r="E99" i="1"/>
  <c r="E11" i="1"/>
  <c r="E194" i="1"/>
  <c r="E66" i="1"/>
  <c r="E63" i="1"/>
  <c r="E94" i="1"/>
  <c r="E95" i="1"/>
  <c r="E20" i="1"/>
  <c r="E48" i="1"/>
  <c r="E47" i="1"/>
  <c r="E155" i="1"/>
  <c r="E188" i="1"/>
  <c r="E67" i="1"/>
  <c r="E198" i="1"/>
  <c r="E129" i="1"/>
  <c r="E158" i="1"/>
  <c r="E128" i="1"/>
  <c r="E123" i="1"/>
  <c r="E137" i="1"/>
  <c r="E104" i="1"/>
  <c r="E187" i="1"/>
  <c r="E152" i="1"/>
  <c r="E190" i="1"/>
  <c r="E127" i="1"/>
  <c r="E102" i="1"/>
  <c r="E166" i="1"/>
  <c r="E163" i="1"/>
  <c r="E115" i="1"/>
  <c r="E110" i="1"/>
  <c r="E113" i="1"/>
  <c r="E199" i="1"/>
  <c r="E143" i="1"/>
  <c r="E154" i="1"/>
  <c r="E149" i="1"/>
  <c r="E189" i="1"/>
  <c r="E136" i="1"/>
  <c r="E139" i="1"/>
  <c r="E153" i="1"/>
  <c r="E165" i="1"/>
  <c r="E118" i="1"/>
  <c r="E121" i="1"/>
  <c r="E100" i="1"/>
  <c r="E148" i="1"/>
  <c r="E156" i="1"/>
  <c r="E108" i="1"/>
  <c r="E98" i="1"/>
  <c r="E146" i="1"/>
  <c r="E161" i="1"/>
  <c r="E193" i="1"/>
  <c r="E114" i="1"/>
  <c r="E60" i="1"/>
  <c r="E107" i="1"/>
  <c r="E191" i="1"/>
  <c r="E134" i="1"/>
  <c r="E112" i="1"/>
  <c r="E200" i="1"/>
  <c r="E157" i="1"/>
  <c r="E130" i="1"/>
  <c r="E142" i="1"/>
  <c r="E132" i="1"/>
  <c r="E120" i="1"/>
  <c r="E167" i="1"/>
  <c r="E151" i="1"/>
  <c r="E124" i="1"/>
  <c r="E195" i="1"/>
  <c r="E141" i="1"/>
  <c r="E138" i="1"/>
  <c r="E122" i="1"/>
  <c r="E116" i="1"/>
  <c r="E117" i="1"/>
  <c r="E144" i="1"/>
  <c r="E101" i="1"/>
  <c r="E162" i="1"/>
  <c r="E133" i="1"/>
  <c r="E109" i="1"/>
  <c r="E105" i="1"/>
  <c r="M105" i="1"/>
  <c r="E196" i="1"/>
  <c r="E201" i="1"/>
  <c r="E192" i="1"/>
  <c r="E125" i="1"/>
  <c r="E126" i="1"/>
  <c r="E131" i="1"/>
  <c r="E103" i="1"/>
  <c r="E160" i="1"/>
  <c r="E111" i="1"/>
  <c r="BP42" i="1"/>
  <c r="BP89" i="1"/>
  <c r="BP57" i="1"/>
  <c r="BL57" i="1"/>
  <c r="BI57" i="1"/>
  <c r="BG57" i="1"/>
  <c r="BF57" i="1"/>
  <c r="BE57" i="1"/>
  <c r="BD57" i="1"/>
  <c r="BC57" i="1"/>
  <c r="BB57" i="1"/>
  <c r="BA57" i="1"/>
  <c r="AZ57" i="1"/>
  <c r="AY57" i="1"/>
  <c r="AX57" i="1"/>
  <c r="BL55" i="1"/>
  <c r="BI55" i="1"/>
  <c r="BG55" i="1"/>
  <c r="BF55" i="1"/>
  <c r="BE55" i="1"/>
  <c r="BD55" i="1"/>
  <c r="BC55" i="1"/>
  <c r="BB55" i="1"/>
  <c r="BA55" i="1"/>
  <c r="AZ55" i="1"/>
  <c r="AY55" i="1"/>
  <c r="AX55" i="1"/>
  <c r="BL84" i="1"/>
  <c r="BI84" i="1"/>
  <c r="BG84" i="1"/>
  <c r="BF84" i="1"/>
  <c r="BE84" i="1"/>
  <c r="BD84" i="1"/>
  <c r="BC84" i="1"/>
  <c r="BB84" i="1"/>
  <c r="BA84" i="1"/>
  <c r="AZ84" i="1"/>
  <c r="AY84" i="1"/>
  <c r="AX84" i="1"/>
  <c r="BP41" i="1"/>
  <c r="BL41" i="1"/>
  <c r="BI41" i="1"/>
  <c r="BG41" i="1"/>
  <c r="BF41" i="1"/>
  <c r="BE41" i="1"/>
  <c r="BD41" i="1"/>
  <c r="BC41" i="1"/>
  <c r="BB41" i="1"/>
  <c r="BA41" i="1"/>
  <c r="AZ41" i="1"/>
  <c r="AY41" i="1"/>
  <c r="AX41" i="1"/>
  <c r="BL42" i="1"/>
  <c r="BI42" i="1"/>
  <c r="BG42" i="1"/>
  <c r="BF42" i="1"/>
  <c r="BE42" i="1"/>
  <c r="BD42" i="1"/>
  <c r="BC42" i="1"/>
  <c r="BB42" i="1"/>
  <c r="BA42" i="1"/>
  <c r="AZ42" i="1"/>
  <c r="AY42" i="1"/>
  <c r="AX42" i="1"/>
  <c r="BP37" i="1"/>
  <c r="BL37" i="1"/>
  <c r="BI37" i="1"/>
  <c r="BG37" i="1"/>
  <c r="BF37" i="1"/>
  <c r="BE37" i="1"/>
  <c r="BD37" i="1"/>
  <c r="BC37" i="1"/>
  <c r="BB37" i="1"/>
  <c r="BA37" i="1"/>
  <c r="AZ37" i="1"/>
  <c r="AY37" i="1"/>
  <c r="AX37" i="1"/>
  <c r="BP40" i="1"/>
  <c r="BL40" i="1"/>
  <c r="BI40" i="1"/>
  <c r="BG40" i="1"/>
  <c r="BF40" i="1"/>
  <c r="BE40" i="1"/>
  <c r="BD40" i="1"/>
  <c r="BC40" i="1"/>
  <c r="BB40" i="1"/>
  <c r="BA40" i="1"/>
  <c r="AZ40" i="1"/>
  <c r="AY40" i="1"/>
  <c r="AX40" i="1"/>
  <c r="BP38" i="1"/>
  <c r="BL38" i="1"/>
  <c r="BI38" i="1"/>
  <c r="BG38" i="1"/>
  <c r="BF38" i="1"/>
  <c r="BE38" i="1"/>
  <c r="BD38" i="1"/>
  <c r="BC38" i="1"/>
  <c r="BB38" i="1"/>
  <c r="BA38" i="1"/>
  <c r="AZ38" i="1"/>
  <c r="AY38" i="1"/>
  <c r="AX38" i="1"/>
  <c r="BL89" i="1"/>
  <c r="BI89" i="1"/>
  <c r="BG89" i="1"/>
  <c r="BF89" i="1"/>
  <c r="BE89" i="1"/>
  <c r="BD89" i="1"/>
  <c r="BC89" i="1"/>
  <c r="BB89" i="1"/>
  <c r="BA89" i="1"/>
  <c r="AZ89" i="1"/>
  <c r="AY89" i="1"/>
  <c r="AX89" i="1"/>
  <c r="BP88" i="1"/>
  <c r="BL88" i="1"/>
  <c r="BI88" i="1"/>
  <c r="BG88" i="1"/>
  <c r="BF88" i="1"/>
  <c r="BE88" i="1"/>
  <c r="BD88" i="1"/>
  <c r="BC88" i="1"/>
  <c r="BB88" i="1"/>
  <c r="BA88" i="1"/>
  <c r="AZ88" i="1"/>
  <c r="AY88" i="1"/>
  <c r="AX88" i="1"/>
  <c r="BP87" i="1"/>
  <c r="BL87" i="1"/>
  <c r="BI87" i="1"/>
  <c r="BG87" i="1"/>
  <c r="BF87" i="1"/>
  <c r="BE87" i="1"/>
  <c r="BD87" i="1"/>
  <c r="BC87" i="1"/>
  <c r="BB87" i="1"/>
  <c r="BA87" i="1"/>
  <c r="AZ87" i="1"/>
  <c r="AY87" i="1"/>
  <c r="AX87" i="1"/>
  <c r="BP93" i="1"/>
  <c r="BL93" i="1"/>
  <c r="BI93" i="1"/>
  <c r="BG93" i="1"/>
  <c r="BF93" i="1"/>
  <c r="BE93" i="1"/>
  <c r="BD93" i="1"/>
  <c r="BC93" i="1"/>
  <c r="BB93" i="1"/>
  <c r="BA93" i="1"/>
  <c r="AZ93" i="1"/>
  <c r="AY93" i="1"/>
  <c r="AX93" i="1"/>
  <c r="BP76" i="1"/>
  <c r="BL76" i="1"/>
  <c r="BI76" i="1"/>
  <c r="BG76" i="1"/>
  <c r="BF76" i="1"/>
  <c r="BE76" i="1"/>
  <c r="BD76" i="1"/>
  <c r="BC76" i="1"/>
  <c r="BB76" i="1"/>
  <c r="BA76" i="1"/>
  <c r="AZ76" i="1"/>
  <c r="AY76" i="1"/>
  <c r="AX76" i="1"/>
  <c r="BP12" i="1"/>
  <c r="BL12" i="1"/>
  <c r="BI12" i="1"/>
  <c r="BG12" i="1"/>
  <c r="BF12" i="1"/>
  <c r="BE12" i="1"/>
  <c r="BD12" i="1"/>
  <c r="BC12" i="1"/>
  <c r="BB12" i="1"/>
  <c r="BA12" i="1"/>
  <c r="AZ12" i="1"/>
  <c r="AY12" i="1"/>
  <c r="AX12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A6" i="1"/>
  <c r="AB6" i="1"/>
  <c r="M91" i="1" l="1"/>
  <c r="BK203" i="1"/>
  <c r="BJ203" i="1"/>
  <c r="BO170" i="1"/>
  <c r="BQ170" i="1" s="1"/>
  <c r="BO197" i="1"/>
  <c r="BQ197" i="1" s="1"/>
  <c r="BO97" i="1"/>
  <c r="BQ97" i="1" s="1"/>
  <c r="BO96" i="1"/>
  <c r="BQ96" i="1" s="1"/>
  <c r="BP55" i="1"/>
  <c r="BP84" i="1"/>
  <c r="BO84" i="1"/>
  <c r="BO57" i="1"/>
  <c r="BQ57" i="1" s="1"/>
  <c r="BO55" i="1"/>
  <c r="BO93" i="1"/>
  <c r="BQ93" i="1" s="1"/>
  <c r="BO37" i="1"/>
  <c r="BQ37" i="1" s="1"/>
  <c r="BO38" i="1"/>
  <c r="BQ38" i="1" s="1"/>
  <c r="BO41" i="1"/>
  <c r="BQ41" i="1" s="1"/>
  <c r="BO40" i="1"/>
  <c r="BQ40" i="1" s="1"/>
  <c r="BO42" i="1"/>
  <c r="BQ42" i="1" s="1"/>
  <c r="BO88" i="1"/>
  <c r="BQ88" i="1" s="1"/>
  <c r="BO87" i="1"/>
  <c r="BQ87" i="1" s="1"/>
  <c r="BO89" i="1"/>
  <c r="BQ89" i="1" s="1"/>
  <c r="BO76" i="1"/>
  <c r="BQ76" i="1" s="1"/>
  <c r="BO12" i="1"/>
  <c r="BQ12" i="1" s="1"/>
  <c r="BQ84" i="1" l="1"/>
  <c r="BQ55" i="1"/>
  <c r="D26" i="8" l="1"/>
  <c r="D28" i="8" s="1"/>
  <c r="D29" i="8" s="1"/>
  <c r="D30" i="8" s="1"/>
  <c r="D31" i="8" s="1"/>
  <c r="D32" i="8" s="1"/>
  <c r="D34" i="8" s="1"/>
  <c r="D33" i="8" l="1"/>
  <c r="D36" i="8" s="1"/>
  <c r="E6" i="8"/>
  <c r="BA133" i="1"/>
  <c r="BF119" i="1"/>
  <c r="BF13" i="1"/>
  <c r="BF73" i="1"/>
  <c r="BF56" i="1"/>
  <c r="BF61" i="1"/>
  <c r="BF19" i="1"/>
  <c r="BF74" i="1"/>
  <c r="BF43" i="1"/>
  <c r="BF85" i="1"/>
  <c r="BF39" i="1"/>
  <c r="BF53" i="1"/>
  <c r="BF27" i="1"/>
  <c r="BF82" i="1"/>
  <c r="BF86" i="1"/>
  <c r="BF77" i="1"/>
  <c r="BF135" i="1"/>
  <c r="BF69" i="1"/>
  <c r="BF68" i="1"/>
  <c r="BF45" i="1"/>
  <c r="BF16" i="1"/>
  <c r="BF10" i="1"/>
  <c r="BF52" i="1"/>
  <c r="BF35" i="1"/>
  <c r="BF36" i="1"/>
  <c r="BF78" i="1"/>
  <c r="BF79" i="1"/>
  <c r="BF80" i="1"/>
  <c r="BF150" i="1"/>
  <c r="BF58" i="1"/>
  <c r="BF14" i="1"/>
  <c r="BF24" i="1"/>
  <c r="BF25" i="1"/>
  <c r="BF26" i="1"/>
  <c r="BF23" i="1"/>
  <c r="BF22" i="1"/>
  <c r="BF83" i="1"/>
  <c r="BF33" i="1"/>
  <c r="BF34" i="1"/>
  <c r="BF32" i="1"/>
  <c r="BF92" i="1"/>
  <c r="BF106" i="1"/>
  <c r="BF30" i="1"/>
  <c r="BF54" i="1"/>
  <c r="BF59" i="1"/>
  <c r="BF71" i="1"/>
  <c r="BF15" i="1"/>
  <c r="BF62" i="1"/>
  <c r="BF46" i="1"/>
  <c r="BF72" i="1"/>
  <c r="BF29" i="1"/>
  <c r="BF31" i="1"/>
  <c r="BF65" i="1"/>
  <c r="BF64" i="1"/>
  <c r="BF70" i="1"/>
  <c r="BF18" i="1"/>
  <c r="BF49" i="1"/>
  <c r="BF51" i="1"/>
  <c r="BF50" i="1"/>
  <c r="BF174" i="1"/>
  <c r="BF145" i="1"/>
  <c r="BF147" i="1"/>
  <c r="BF164" i="1"/>
  <c r="BF140" i="1"/>
  <c r="BF91" i="1"/>
  <c r="BF28" i="1"/>
  <c r="BF17" i="1"/>
  <c r="BF21" i="1"/>
  <c r="BF75" i="1"/>
  <c r="BF99" i="1"/>
  <c r="BF11" i="1"/>
  <c r="BF194" i="1"/>
  <c r="BF66" i="1"/>
  <c r="BF63" i="1"/>
  <c r="BF94" i="1"/>
  <c r="BF95" i="1"/>
  <c r="BF20" i="1"/>
  <c r="BF48" i="1"/>
  <c r="BF47" i="1"/>
  <c r="BF155" i="1"/>
  <c r="BF188" i="1"/>
  <c r="BF67" i="1"/>
  <c r="BF198" i="1"/>
  <c r="BF129" i="1"/>
  <c r="BF184" i="1"/>
  <c r="BF158" i="1"/>
  <c r="BF128" i="1"/>
  <c r="BF123" i="1"/>
  <c r="BF137" i="1"/>
  <c r="BF104" i="1"/>
  <c r="BF185" i="1"/>
  <c r="BF187" i="1"/>
  <c r="BF152" i="1"/>
  <c r="BF190" i="1"/>
  <c r="BF127" i="1"/>
  <c r="BF102" i="1"/>
  <c r="BF166" i="1"/>
  <c r="BF163" i="1"/>
  <c r="BF115" i="1"/>
  <c r="BF172" i="1"/>
  <c r="BF180" i="1"/>
  <c r="BF110" i="1"/>
  <c r="BF113" i="1"/>
  <c r="BF199" i="1"/>
  <c r="BF143" i="1"/>
  <c r="BF154" i="1"/>
  <c r="BF149" i="1"/>
  <c r="BF189" i="1"/>
  <c r="BF136" i="1"/>
  <c r="BF139" i="1"/>
  <c r="BF153" i="1"/>
  <c r="BF165" i="1"/>
  <c r="BF118" i="1"/>
  <c r="BF121" i="1"/>
  <c r="BF173" i="1"/>
  <c r="BF100" i="1"/>
  <c r="BF148" i="1"/>
  <c r="BF156" i="1"/>
  <c r="BF108" i="1"/>
  <c r="BF186" i="1"/>
  <c r="BF181" i="1"/>
  <c r="BF98" i="1"/>
  <c r="BF146" i="1"/>
  <c r="BF161" i="1"/>
  <c r="BF183" i="1"/>
  <c r="BF193" i="1"/>
  <c r="BF114" i="1"/>
  <c r="BF60" i="1"/>
  <c r="BF178" i="1"/>
  <c r="BF107" i="1"/>
  <c r="BF191" i="1"/>
  <c r="BF134" i="1"/>
  <c r="BF112" i="1"/>
  <c r="BF182" i="1"/>
  <c r="BF200" i="1"/>
  <c r="BF157" i="1"/>
  <c r="BF130" i="1"/>
  <c r="BF142" i="1"/>
  <c r="BF132" i="1"/>
  <c r="BF120" i="1"/>
  <c r="BF176" i="1"/>
  <c r="BF167" i="1"/>
  <c r="BF151" i="1"/>
  <c r="BF124" i="1"/>
  <c r="BF195" i="1"/>
  <c r="BF141" i="1"/>
  <c r="BF179" i="1"/>
  <c r="BF138" i="1"/>
  <c r="BF122" i="1"/>
  <c r="BF116" i="1"/>
  <c r="BF117" i="1"/>
  <c r="BF144" i="1"/>
  <c r="BF101" i="1"/>
  <c r="BF162" i="1"/>
  <c r="BF133" i="1"/>
  <c r="BF159" i="1"/>
  <c r="BF171" i="1"/>
  <c r="BF109" i="1"/>
  <c r="BF105" i="1"/>
  <c r="BF196" i="1"/>
  <c r="BF175" i="1"/>
  <c r="BF201" i="1"/>
  <c r="BF192" i="1"/>
  <c r="BF125" i="1"/>
  <c r="BF126" i="1"/>
  <c r="BF131" i="1"/>
  <c r="BF103" i="1"/>
  <c r="BF177" i="1"/>
  <c r="BF160" i="1"/>
  <c r="BF168" i="1"/>
  <c r="BF169" i="1"/>
  <c r="BF111" i="1"/>
  <c r="BF81" i="1"/>
  <c r="BP79" i="1" l="1"/>
  <c r="BL79" i="1"/>
  <c r="BI79" i="1"/>
  <c r="BG79" i="1"/>
  <c r="BE79" i="1"/>
  <c r="BD79" i="1"/>
  <c r="BC79" i="1"/>
  <c r="BB79" i="1"/>
  <c r="BA79" i="1"/>
  <c r="AZ79" i="1"/>
  <c r="AY79" i="1"/>
  <c r="AX79" i="1"/>
  <c r="BP15" i="1"/>
  <c r="BL15" i="1"/>
  <c r="BI15" i="1"/>
  <c r="BG15" i="1"/>
  <c r="BE15" i="1"/>
  <c r="BD15" i="1"/>
  <c r="BC15" i="1"/>
  <c r="BB15" i="1"/>
  <c r="BA15" i="1"/>
  <c r="AZ15" i="1"/>
  <c r="AY15" i="1"/>
  <c r="AX15" i="1"/>
  <c r="BP18" i="1"/>
  <c r="BL18" i="1"/>
  <c r="BI18" i="1"/>
  <c r="BG18" i="1"/>
  <c r="BE18" i="1"/>
  <c r="BD18" i="1"/>
  <c r="BC18" i="1"/>
  <c r="BB18" i="1"/>
  <c r="BA18" i="1"/>
  <c r="AZ18" i="1"/>
  <c r="AY18" i="1"/>
  <c r="AX18" i="1"/>
  <c r="BP70" i="1"/>
  <c r="BL70" i="1"/>
  <c r="BI70" i="1"/>
  <c r="BG70" i="1"/>
  <c r="BE70" i="1"/>
  <c r="BD70" i="1"/>
  <c r="BC70" i="1"/>
  <c r="BB70" i="1"/>
  <c r="BA70" i="1"/>
  <c r="AZ70" i="1"/>
  <c r="AY70" i="1"/>
  <c r="AX70" i="1"/>
  <c r="BP64" i="1"/>
  <c r="BL64" i="1"/>
  <c r="BI64" i="1"/>
  <c r="BG64" i="1"/>
  <c r="BE64" i="1"/>
  <c r="BD64" i="1"/>
  <c r="BC64" i="1"/>
  <c r="BB64" i="1"/>
  <c r="BA64" i="1"/>
  <c r="AZ64" i="1"/>
  <c r="AY64" i="1"/>
  <c r="AX64" i="1"/>
  <c r="BP65" i="1"/>
  <c r="BL65" i="1"/>
  <c r="BI65" i="1"/>
  <c r="BG65" i="1"/>
  <c r="BE65" i="1"/>
  <c r="BD65" i="1"/>
  <c r="BC65" i="1"/>
  <c r="BB65" i="1"/>
  <c r="BA65" i="1"/>
  <c r="AZ65" i="1"/>
  <c r="AY65" i="1"/>
  <c r="AX65" i="1"/>
  <c r="BP31" i="1"/>
  <c r="BL31" i="1"/>
  <c r="BI31" i="1"/>
  <c r="BG31" i="1"/>
  <c r="BE31" i="1"/>
  <c r="BD31" i="1"/>
  <c r="BC31" i="1"/>
  <c r="BB31" i="1"/>
  <c r="BA31" i="1"/>
  <c r="AZ31" i="1"/>
  <c r="AY31" i="1"/>
  <c r="AX31" i="1"/>
  <c r="BP135" i="1"/>
  <c r="BL135" i="1"/>
  <c r="BI135" i="1"/>
  <c r="BG135" i="1"/>
  <c r="BE135" i="1"/>
  <c r="BD135" i="1"/>
  <c r="BC135" i="1"/>
  <c r="BB135" i="1"/>
  <c r="BA135" i="1"/>
  <c r="AZ135" i="1"/>
  <c r="AY135" i="1"/>
  <c r="AX135" i="1"/>
  <c r="BP77" i="1"/>
  <c r="BL77" i="1"/>
  <c r="BI77" i="1"/>
  <c r="BG77" i="1"/>
  <c r="BE77" i="1"/>
  <c r="BD77" i="1"/>
  <c r="BC77" i="1"/>
  <c r="BB77" i="1"/>
  <c r="BA77" i="1"/>
  <c r="AZ77" i="1"/>
  <c r="AY77" i="1"/>
  <c r="AX77" i="1"/>
  <c r="BO79" i="1" l="1"/>
  <c r="BQ79" i="1" s="1"/>
  <c r="BO15" i="1"/>
  <c r="BQ15" i="1" s="1"/>
  <c r="BO64" i="1"/>
  <c r="BQ64" i="1" s="1"/>
  <c r="BO18" i="1"/>
  <c r="BQ18" i="1" s="1"/>
  <c r="BO77" i="1"/>
  <c r="BQ77" i="1" s="1"/>
  <c r="BO65" i="1"/>
  <c r="BQ65" i="1" s="1"/>
  <c r="BO70" i="1"/>
  <c r="BQ70" i="1" s="1"/>
  <c r="BO31" i="1"/>
  <c r="BQ31" i="1" s="1"/>
  <c r="BO135" i="1"/>
  <c r="BQ135" i="1" s="1"/>
  <c r="B52" i="8" l="1"/>
  <c r="D40" i="8"/>
  <c r="D41" i="8" s="1"/>
  <c r="D42" i="8" l="1"/>
  <c r="D44" i="8" s="1"/>
  <c r="D43" i="8"/>
  <c r="AX69" i="1"/>
  <c r="AY69" i="1"/>
  <c r="AZ69" i="1"/>
  <c r="BA69" i="1"/>
  <c r="BB69" i="1"/>
  <c r="BC69" i="1"/>
  <c r="BD69" i="1"/>
  <c r="BE69" i="1"/>
  <c r="BG69" i="1"/>
  <c r="BI69" i="1"/>
  <c r="BL69" i="1"/>
  <c r="BP69" i="1"/>
  <c r="AX52" i="1"/>
  <c r="AY52" i="1"/>
  <c r="AZ52" i="1"/>
  <c r="BA52" i="1"/>
  <c r="BB52" i="1"/>
  <c r="BC52" i="1"/>
  <c r="BD52" i="1"/>
  <c r="BE52" i="1"/>
  <c r="BG52" i="1"/>
  <c r="BI52" i="1"/>
  <c r="BL52" i="1"/>
  <c r="BP52" i="1"/>
  <c r="AX25" i="1"/>
  <c r="AY25" i="1"/>
  <c r="AZ25" i="1"/>
  <c r="BA25" i="1"/>
  <c r="BB25" i="1"/>
  <c r="BC25" i="1"/>
  <c r="BD25" i="1"/>
  <c r="BE25" i="1"/>
  <c r="BG25" i="1"/>
  <c r="BI25" i="1"/>
  <c r="BL25" i="1"/>
  <c r="BP25" i="1"/>
  <c r="AX128" i="1"/>
  <c r="AY128" i="1"/>
  <c r="AZ128" i="1"/>
  <c r="BA128" i="1"/>
  <c r="BB128" i="1"/>
  <c r="BC128" i="1"/>
  <c r="BD128" i="1"/>
  <c r="BE128" i="1"/>
  <c r="BG128" i="1"/>
  <c r="BI128" i="1"/>
  <c r="BL128" i="1"/>
  <c r="BP128" i="1"/>
  <c r="AX137" i="1"/>
  <c r="AY137" i="1"/>
  <c r="AZ137" i="1"/>
  <c r="BA137" i="1"/>
  <c r="BB137" i="1"/>
  <c r="BC137" i="1"/>
  <c r="BD137" i="1"/>
  <c r="BE137" i="1"/>
  <c r="BG137" i="1"/>
  <c r="BI137" i="1"/>
  <c r="BL137" i="1"/>
  <c r="BP137" i="1"/>
  <c r="AX104" i="1"/>
  <c r="AY104" i="1"/>
  <c r="AZ104" i="1"/>
  <c r="BA104" i="1"/>
  <c r="BB104" i="1"/>
  <c r="BC104" i="1"/>
  <c r="BD104" i="1"/>
  <c r="BE104" i="1"/>
  <c r="BG104" i="1"/>
  <c r="BI104" i="1"/>
  <c r="BL104" i="1"/>
  <c r="BP104" i="1"/>
  <c r="AX166" i="1"/>
  <c r="AY166" i="1"/>
  <c r="AZ166" i="1"/>
  <c r="BA166" i="1"/>
  <c r="BB166" i="1"/>
  <c r="BC166" i="1"/>
  <c r="BD166" i="1"/>
  <c r="BE166" i="1"/>
  <c r="BG166" i="1"/>
  <c r="BI166" i="1"/>
  <c r="BL166" i="1"/>
  <c r="BP166" i="1"/>
  <c r="D45" i="8" l="1"/>
  <c r="BO52" i="1"/>
  <c r="BQ52" i="1" s="1"/>
  <c r="BO69" i="1"/>
  <c r="BQ69" i="1" s="1"/>
  <c r="BO25" i="1"/>
  <c r="BQ25" i="1" s="1"/>
  <c r="BO128" i="1"/>
  <c r="BQ128" i="1" s="1"/>
  <c r="BO137" i="1"/>
  <c r="BQ137" i="1" s="1"/>
  <c r="BO104" i="1"/>
  <c r="BQ104" i="1" s="1"/>
  <c r="BO166" i="1"/>
  <c r="BQ166" i="1" s="1"/>
  <c r="D46" i="8" l="1"/>
  <c r="D47" i="8" s="1"/>
  <c r="D48" i="8" s="1"/>
  <c r="D49" i="8" s="1"/>
  <c r="B53" i="8" s="1"/>
  <c r="B54" i="8" s="1"/>
  <c r="H202" i="1" l="1"/>
  <c r="H203" i="1" s="1"/>
  <c r="D13" i="4"/>
  <c r="BP111" i="1" l="1"/>
  <c r="BP169" i="1"/>
  <c r="BP168" i="1"/>
  <c r="BP160" i="1"/>
  <c r="BP177" i="1"/>
  <c r="BP103" i="1"/>
  <c r="BP131" i="1"/>
  <c r="BP126" i="1"/>
  <c r="BP125" i="1"/>
  <c r="BP192" i="1"/>
  <c r="BP201" i="1"/>
  <c r="BP175" i="1"/>
  <c r="BP196" i="1"/>
  <c r="BP105" i="1"/>
  <c r="BP109" i="1"/>
  <c r="BP171" i="1"/>
  <c r="BP159" i="1"/>
  <c r="BP133" i="1"/>
  <c r="BP162" i="1"/>
  <c r="BP101" i="1"/>
  <c r="BP144" i="1"/>
  <c r="BP117" i="1"/>
  <c r="BP116" i="1"/>
  <c r="BP122" i="1"/>
  <c r="BP138" i="1"/>
  <c r="BP179" i="1"/>
  <c r="BP141" i="1"/>
  <c r="BP195" i="1"/>
  <c r="BP124" i="1"/>
  <c r="BP151" i="1"/>
  <c r="BP167" i="1"/>
  <c r="BP176" i="1"/>
  <c r="BP120" i="1"/>
  <c r="BP132" i="1"/>
  <c r="BP142" i="1"/>
  <c r="BP130" i="1"/>
  <c r="BP157" i="1"/>
  <c r="BP200" i="1"/>
  <c r="BP182" i="1"/>
  <c r="BP112" i="1"/>
  <c r="BP134" i="1"/>
  <c r="BP191" i="1"/>
  <c r="BP107" i="1"/>
  <c r="BP178" i="1"/>
  <c r="BP60" i="1"/>
  <c r="BP114" i="1"/>
  <c r="BP193" i="1"/>
  <c r="BP183" i="1"/>
  <c r="BP161" i="1"/>
  <c r="BP146" i="1"/>
  <c r="BP98" i="1"/>
  <c r="BP181" i="1"/>
  <c r="BP186" i="1"/>
  <c r="BP108" i="1"/>
  <c r="BP156" i="1"/>
  <c r="BP148" i="1"/>
  <c r="BP100" i="1"/>
  <c r="BP173" i="1"/>
  <c r="BP121" i="1"/>
  <c r="BP118" i="1"/>
  <c r="BP165" i="1"/>
  <c r="BP153" i="1"/>
  <c r="BP139" i="1"/>
  <c r="BP136" i="1"/>
  <c r="BP189" i="1"/>
  <c r="BP149" i="1"/>
  <c r="BP154" i="1"/>
  <c r="BP143" i="1"/>
  <c r="BP199" i="1"/>
  <c r="BP113" i="1"/>
  <c r="BP110" i="1"/>
  <c r="BP180" i="1"/>
  <c r="BP172" i="1"/>
  <c r="BP115" i="1"/>
  <c r="BP163" i="1"/>
  <c r="BP102" i="1"/>
  <c r="BP127" i="1"/>
  <c r="BP190" i="1"/>
  <c r="BP152" i="1"/>
  <c r="BP187" i="1"/>
  <c r="BP185" i="1"/>
  <c r="BP123" i="1"/>
  <c r="BP158" i="1"/>
  <c r="BP184" i="1"/>
  <c r="BP129" i="1"/>
  <c r="BP198" i="1"/>
  <c r="BP67" i="1"/>
  <c r="BP188" i="1"/>
  <c r="BP155" i="1"/>
  <c r="BP47" i="1"/>
  <c r="BP48" i="1"/>
  <c r="BP20" i="1"/>
  <c r="BP95" i="1"/>
  <c r="BP94" i="1"/>
  <c r="BP63" i="1"/>
  <c r="BP66" i="1"/>
  <c r="BP194" i="1"/>
  <c r="BP11" i="1"/>
  <c r="BP99" i="1"/>
  <c r="BP75" i="1"/>
  <c r="BP21" i="1"/>
  <c r="BP17" i="1"/>
  <c r="BP28" i="1"/>
  <c r="BP91" i="1"/>
  <c r="BP140" i="1"/>
  <c r="BP164" i="1"/>
  <c r="BP147" i="1"/>
  <c r="BP145" i="1"/>
  <c r="BP174" i="1"/>
  <c r="BP50" i="1"/>
  <c r="BP51" i="1"/>
  <c r="BP49" i="1"/>
  <c r="BP29" i="1"/>
  <c r="BP72" i="1"/>
  <c r="BP46" i="1"/>
  <c r="BP62" i="1"/>
  <c r="BP71" i="1"/>
  <c r="BP59" i="1"/>
  <c r="BP54" i="1"/>
  <c r="BP30" i="1"/>
  <c r="BP106" i="1"/>
  <c r="BP92" i="1"/>
  <c r="BP32" i="1"/>
  <c r="BP34" i="1"/>
  <c r="BP33" i="1"/>
  <c r="BP83" i="1"/>
  <c r="BP22" i="1"/>
  <c r="BP23" i="1"/>
  <c r="BP26" i="1"/>
  <c r="BP24" i="1"/>
  <c r="BP14" i="1"/>
  <c r="BP58" i="1"/>
  <c r="BP150" i="1"/>
  <c r="BP80" i="1"/>
  <c r="BP78" i="1"/>
  <c r="BP36" i="1"/>
  <c r="BP35" i="1"/>
  <c r="BP10" i="1"/>
  <c r="BP16" i="1"/>
  <c r="BP45" i="1"/>
  <c r="BP68" i="1"/>
  <c r="BP86" i="1"/>
  <c r="BP82" i="1"/>
  <c r="BP27" i="1"/>
  <c r="BP53" i="1"/>
  <c r="BP39" i="1"/>
  <c r="BP85" i="1"/>
  <c r="BP43" i="1"/>
  <c r="BP74" i="1"/>
  <c r="BP19" i="1"/>
  <c r="BP61" i="1"/>
  <c r="BP56" i="1"/>
  <c r="BP73" i="1"/>
  <c r="BP13" i="1"/>
  <c r="BP119" i="1"/>
  <c r="BP81" i="1"/>
  <c r="AX119" i="1"/>
  <c r="AY119" i="1"/>
  <c r="AZ119" i="1"/>
  <c r="BA119" i="1"/>
  <c r="BB119" i="1"/>
  <c r="BC119" i="1"/>
  <c r="BD119" i="1"/>
  <c r="BE119" i="1"/>
  <c r="BG119" i="1"/>
  <c r="BI119" i="1"/>
  <c r="BL119" i="1"/>
  <c r="AX13" i="1"/>
  <c r="AY13" i="1"/>
  <c r="AZ13" i="1"/>
  <c r="BA13" i="1"/>
  <c r="BB13" i="1"/>
  <c r="BC13" i="1"/>
  <c r="BD13" i="1"/>
  <c r="BE13" i="1"/>
  <c r="BG13" i="1"/>
  <c r="BI13" i="1"/>
  <c r="BL13" i="1"/>
  <c r="AX73" i="1"/>
  <c r="AY73" i="1"/>
  <c r="AZ73" i="1"/>
  <c r="BA73" i="1"/>
  <c r="BB73" i="1"/>
  <c r="BC73" i="1"/>
  <c r="BD73" i="1"/>
  <c r="BE73" i="1"/>
  <c r="BG73" i="1"/>
  <c r="BI73" i="1"/>
  <c r="BL73" i="1"/>
  <c r="AX56" i="1"/>
  <c r="AY56" i="1"/>
  <c r="AZ56" i="1"/>
  <c r="BA56" i="1"/>
  <c r="BB56" i="1"/>
  <c r="BC56" i="1"/>
  <c r="BD56" i="1"/>
  <c r="BE56" i="1"/>
  <c r="BG56" i="1"/>
  <c r="BI56" i="1"/>
  <c r="BL56" i="1"/>
  <c r="AX61" i="1"/>
  <c r="AY61" i="1"/>
  <c r="AZ61" i="1"/>
  <c r="BA61" i="1"/>
  <c r="BB61" i="1"/>
  <c r="BC61" i="1"/>
  <c r="BD61" i="1"/>
  <c r="BE61" i="1"/>
  <c r="BG61" i="1"/>
  <c r="BI61" i="1"/>
  <c r="BL61" i="1"/>
  <c r="AX19" i="1"/>
  <c r="AY19" i="1"/>
  <c r="AZ19" i="1"/>
  <c r="BA19" i="1"/>
  <c r="BB19" i="1"/>
  <c r="BC19" i="1"/>
  <c r="BD19" i="1"/>
  <c r="BE19" i="1"/>
  <c r="BG19" i="1"/>
  <c r="BI19" i="1"/>
  <c r="BL19" i="1"/>
  <c r="AX74" i="1"/>
  <c r="AY74" i="1"/>
  <c r="AZ74" i="1"/>
  <c r="BA74" i="1"/>
  <c r="BB74" i="1"/>
  <c r="BC74" i="1"/>
  <c r="BD74" i="1"/>
  <c r="BE74" i="1"/>
  <c r="BG74" i="1"/>
  <c r="BI74" i="1"/>
  <c r="BL74" i="1"/>
  <c r="AX43" i="1"/>
  <c r="AY43" i="1"/>
  <c r="AZ43" i="1"/>
  <c r="BA43" i="1"/>
  <c r="BB43" i="1"/>
  <c r="BC43" i="1"/>
  <c r="BD43" i="1"/>
  <c r="BE43" i="1"/>
  <c r="BG43" i="1"/>
  <c r="BI43" i="1"/>
  <c r="BL43" i="1"/>
  <c r="AX85" i="1"/>
  <c r="AY85" i="1"/>
  <c r="AZ85" i="1"/>
  <c r="BA85" i="1"/>
  <c r="BB85" i="1"/>
  <c r="BC85" i="1"/>
  <c r="BD85" i="1"/>
  <c r="BE85" i="1"/>
  <c r="BG85" i="1"/>
  <c r="BI85" i="1"/>
  <c r="BL85" i="1"/>
  <c r="AX39" i="1"/>
  <c r="AY39" i="1"/>
  <c r="AZ39" i="1"/>
  <c r="BA39" i="1"/>
  <c r="BB39" i="1"/>
  <c r="BC39" i="1"/>
  <c r="BD39" i="1"/>
  <c r="BE39" i="1"/>
  <c r="BG39" i="1"/>
  <c r="BI39" i="1"/>
  <c r="BL39" i="1"/>
  <c r="AX53" i="1"/>
  <c r="AY53" i="1"/>
  <c r="AZ53" i="1"/>
  <c r="BA53" i="1"/>
  <c r="BB53" i="1"/>
  <c r="BC53" i="1"/>
  <c r="BD53" i="1"/>
  <c r="BE53" i="1"/>
  <c r="BG53" i="1"/>
  <c r="BI53" i="1"/>
  <c r="BL53" i="1"/>
  <c r="AX27" i="1"/>
  <c r="AY27" i="1"/>
  <c r="AZ27" i="1"/>
  <c r="BA27" i="1"/>
  <c r="BB27" i="1"/>
  <c r="BC27" i="1"/>
  <c r="BD27" i="1"/>
  <c r="BE27" i="1"/>
  <c r="BG27" i="1"/>
  <c r="BI27" i="1"/>
  <c r="BL27" i="1"/>
  <c r="AX82" i="1"/>
  <c r="AY82" i="1"/>
  <c r="AZ82" i="1"/>
  <c r="BA82" i="1"/>
  <c r="BB82" i="1"/>
  <c r="BC82" i="1"/>
  <c r="BD82" i="1"/>
  <c r="BE82" i="1"/>
  <c r="BG82" i="1"/>
  <c r="BI82" i="1"/>
  <c r="BL82" i="1"/>
  <c r="AX86" i="1"/>
  <c r="AY86" i="1"/>
  <c r="AZ86" i="1"/>
  <c r="BA86" i="1"/>
  <c r="BB86" i="1"/>
  <c r="BC86" i="1"/>
  <c r="BD86" i="1"/>
  <c r="BE86" i="1"/>
  <c r="BG86" i="1"/>
  <c r="BI86" i="1"/>
  <c r="BL86" i="1"/>
  <c r="AX68" i="1"/>
  <c r="AY68" i="1"/>
  <c r="AZ68" i="1"/>
  <c r="BA68" i="1"/>
  <c r="BB68" i="1"/>
  <c r="BC68" i="1"/>
  <c r="BD68" i="1"/>
  <c r="BE68" i="1"/>
  <c r="BG68" i="1"/>
  <c r="BI68" i="1"/>
  <c r="BL68" i="1"/>
  <c r="AX45" i="1"/>
  <c r="AY45" i="1"/>
  <c r="AZ45" i="1"/>
  <c r="BA45" i="1"/>
  <c r="BB45" i="1"/>
  <c r="BC45" i="1"/>
  <c r="BD45" i="1"/>
  <c r="BE45" i="1"/>
  <c r="BG45" i="1"/>
  <c r="BI45" i="1"/>
  <c r="BL45" i="1"/>
  <c r="AX16" i="1"/>
  <c r="AY16" i="1"/>
  <c r="AZ16" i="1"/>
  <c r="BA16" i="1"/>
  <c r="BB16" i="1"/>
  <c r="BC16" i="1"/>
  <c r="BD16" i="1"/>
  <c r="BE16" i="1"/>
  <c r="BG16" i="1"/>
  <c r="BI16" i="1"/>
  <c r="BL16" i="1"/>
  <c r="AX10" i="1"/>
  <c r="AY10" i="1"/>
  <c r="AZ10" i="1"/>
  <c r="BA10" i="1"/>
  <c r="BB10" i="1"/>
  <c r="BC10" i="1"/>
  <c r="BD10" i="1"/>
  <c r="BE10" i="1"/>
  <c r="BG10" i="1"/>
  <c r="BI10" i="1"/>
  <c r="BL10" i="1"/>
  <c r="AX35" i="1"/>
  <c r="AY35" i="1"/>
  <c r="AZ35" i="1"/>
  <c r="BA35" i="1"/>
  <c r="BB35" i="1"/>
  <c r="BC35" i="1"/>
  <c r="BD35" i="1"/>
  <c r="BE35" i="1"/>
  <c r="BG35" i="1"/>
  <c r="BI35" i="1"/>
  <c r="BL35" i="1"/>
  <c r="AX36" i="1"/>
  <c r="AY36" i="1"/>
  <c r="AZ36" i="1"/>
  <c r="BA36" i="1"/>
  <c r="BB36" i="1"/>
  <c r="BC36" i="1"/>
  <c r="BD36" i="1"/>
  <c r="BE36" i="1"/>
  <c r="BG36" i="1"/>
  <c r="BI36" i="1"/>
  <c r="BL36" i="1"/>
  <c r="AX78" i="1"/>
  <c r="AY78" i="1"/>
  <c r="AZ78" i="1"/>
  <c r="BA78" i="1"/>
  <c r="BB78" i="1"/>
  <c r="BC78" i="1"/>
  <c r="BD78" i="1"/>
  <c r="BE78" i="1"/>
  <c r="BG78" i="1"/>
  <c r="BI78" i="1"/>
  <c r="BL78" i="1"/>
  <c r="AX80" i="1"/>
  <c r="AY80" i="1"/>
  <c r="AZ80" i="1"/>
  <c r="BA80" i="1"/>
  <c r="BB80" i="1"/>
  <c r="BC80" i="1"/>
  <c r="BD80" i="1"/>
  <c r="BE80" i="1"/>
  <c r="BG80" i="1"/>
  <c r="BI80" i="1"/>
  <c r="BL80" i="1"/>
  <c r="AX150" i="1"/>
  <c r="AY150" i="1"/>
  <c r="AZ150" i="1"/>
  <c r="BA150" i="1"/>
  <c r="BB150" i="1"/>
  <c r="BC150" i="1"/>
  <c r="BD150" i="1"/>
  <c r="BE150" i="1"/>
  <c r="BG150" i="1"/>
  <c r="BI150" i="1"/>
  <c r="BL150" i="1"/>
  <c r="AX58" i="1"/>
  <c r="AY58" i="1"/>
  <c r="AZ58" i="1"/>
  <c r="BA58" i="1"/>
  <c r="BB58" i="1"/>
  <c r="BC58" i="1"/>
  <c r="BD58" i="1"/>
  <c r="BE58" i="1"/>
  <c r="BG58" i="1"/>
  <c r="BI58" i="1"/>
  <c r="BL58" i="1"/>
  <c r="AX14" i="1"/>
  <c r="AY14" i="1"/>
  <c r="AZ14" i="1"/>
  <c r="BA14" i="1"/>
  <c r="BB14" i="1"/>
  <c r="BC14" i="1"/>
  <c r="BD14" i="1"/>
  <c r="BE14" i="1"/>
  <c r="BG14" i="1"/>
  <c r="BI14" i="1"/>
  <c r="BL14" i="1"/>
  <c r="AX24" i="1"/>
  <c r="AY24" i="1"/>
  <c r="AZ24" i="1"/>
  <c r="BA24" i="1"/>
  <c r="BB24" i="1"/>
  <c r="BC24" i="1"/>
  <c r="BD24" i="1"/>
  <c r="BE24" i="1"/>
  <c r="BG24" i="1"/>
  <c r="BI24" i="1"/>
  <c r="BL24" i="1"/>
  <c r="AX26" i="1"/>
  <c r="AY26" i="1"/>
  <c r="AZ26" i="1"/>
  <c r="BA26" i="1"/>
  <c r="BB26" i="1"/>
  <c r="BC26" i="1"/>
  <c r="BD26" i="1"/>
  <c r="BE26" i="1"/>
  <c r="BG26" i="1"/>
  <c r="BI26" i="1"/>
  <c r="BL26" i="1"/>
  <c r="AX23" i="1"/>
  <c r="AY23" i="1"/>
  <c r="AZ23" i="1"/>
  <c r="BA23" i="1"/>
  <c r="BB23" i="1"/>
  <c r="BC23" i="1"/>
  <c r="BD23" i="1"/>
  <c r="BE23" i="1"/>
  <c r="BG23" i="1"/>
  <c r="BI23" i="1"/>
  <c r="BL23" i="1"/>
  <c r="AX22" i="1"/>
  <c r="AY22" i="1"/>
  <c r="AZ22" i="1"/>
  <c r="BA22" i="1"/>
  <c r="BB22" i="1"/>
  <c r="BC22" i="1"/>
  <c r="BD22" i="1"/>
  <c r="BE22" i="1"/>
  <c r="BG22" i="1"/>
  <c r="BI22" i="1"/>
  <c r="BL22" i="1"/>
  <c r="AX83" i="1"/>
  <c r="AY83" i="1"/>
  <c r="AZ83" i="1"/>
  <c r="BA83" i="1"/>
  <c r="BB83" i="1"/>
  <c r="BC83" i="1"/>
  <c r="BD83" i="1"/>
  <c r="BE83" i="1"/>
  <c r="BG83" i="1"/>
  <c r="BI83" i="1"/>
  <c r="BL83" i="1"/>
  <c r="AX33" i="1"/>
  <c r="AY33" i="1"/>
  <c r="AZ33" i="1"/>
  <c r="BA33" i="1"/>
  <c r="BB33" i="1"/>
  <c r="BC33" i="1"/>
  <c r="BD33" i="1"/>
  <c r="BE33" i="1"/>
  <c r="BG33" i="1"/>
  <c r="BI33" i="1"/>
  <c r="BL33" i="1"/>
  <c r="AX34" i="1"/>
  <c r="AY34" i="1"/>
  <c r="AZ34" i="1"/>
  <c r="BA34" i="1"/>
  <c r="BB34" i="1"/>
  <c r="BC34" i="1"/>
  <c r="BD34" i="1"/>
  <c r="BE34" i="1"/>
  <c r="BG34" i="1"/>
  <c r="BI34" i="1"/>
  <c r="BL34" i="1"/>
  <c r="AX32" i="1"/>
  <c r="AY32" i="1"/>
  <c r="AZ32" i="1"/>
  <c r="BA32" i="1"/>
  <c r="BB32" i="1"/>
  <c r="BC32" i="1"/>
  <c r="BD32" i="1"/>
  <c r="BE32" i="1"/>
  <c r="BG32" i="1"/>
  <c r="BI32" i="1"/>
  <c r="BL32" i="1"/>
  <c r="AX92" i="1"/>
  <c r="AY92" i="1"/>
  <c r="AZ92" i="1"/>
  <c r="BA92" i="1"/>
  <c r="BB92" i="1"/>
  <c r="BC92" i="1"/>
  <c r="BD92" i="1"/>
  <c r="BE92" i="1"/>
  <c r="BG92" i="1"/>
  <c r="BI92" i="1"/>
  <c r="BL92" i="1"/>
  <c r="AX106" i="1"/>
  <c r="AY106" i="1"/>
  <c r="AZ106" i="1"/>
  <c r="BA106" i="1"/>
  <c r="BB106" i="1"/>
  <c r="BC106" i="1"/>
  <c r="BD106" i="1"/>
  <c r="BE106" i="1"/>
  <c r="BG106" i="1"/>
  <c r="BI106" i="1"/>
  <c r="BL106" i="1"/>
  <c r="AX30" i="1"/>
  <c r="AY30" i="1"/>
  <c r="AZ30" i="1"/>
  <c r="BA30" i="1"/>
  <c r="BB30" i="1"/>
  <c r="BC30" i="1"/>
  <c r="BD30" i="1"/>
  <c r="BE30" i="1"/>
  <c r="BG30" i="1"/>
  <c r="BI30" i="1"/>
  <c r="BL30" i="1"/>
  <c r="AX54" i="1"/>
  <c r="AY54" i="1"/>
  <c r="AZ54" i="1"/>
  <c r="BA54" i="1"/>
  <c r="BB54" i="1"/>
  <c r="BC54" i="1"/>
  <c r="BD54" i="1"/>
  <c r="BE54" i="1"/>
  <c r="BG54" i="1"/>
  <c r="BI54" i="1"/>
  <c r="BL54" i="1"/>
  <c r="AX59" i="1"/>
  <c r="AY59" i="1"/>
  <c r="AZ59" i="1"/>
  <c r="BA59" i="1"/>
  <c r="BB59" i="1"/>
  <c r="BC59" i="1"/>
  <c r="BD59" i="1"/>
  <c r="BE59" i="1"/>
  <c r="BG59" i="1"/>
  <c r="BI59" i="1"/>
  <c r="BL59" i="1"/>
  <c r="AX71" i="1"/>
  <c r="AY71" i="1"/>
  <c r="AZ71" i="1"/>
  <c r="BA71" i="1"/>
  <c r="BB71" i="1"/>
  <c r="BC71" i="1"/>
  <c r="BD71" i="1"/>
  <c r="BE71" i="1"/>
  <c r="BG71" i="1"/>
  <c r="BI71" i="1"/>
  <c r="BL71" i="1"/>
  <c r="AX62" i="1"/>
  <c r="AY62" i="1"/>
  <c r="AZ62" i="1"/>
  <c r="BA62" i="1"/>
  <c r="BB62" i="1"/>
  <c r="BC62" i="1"/>
  <c r="BD62" i="1"/>
  <c r="BE62" i="1"/>
  <c r="BG62" i="1"/>
  <c r="BI62" i="1"/>
  <c r="BL62" i="1"/>
  <c r="AX46" i="1"/>
  <c r="AY46" i="1"/>
  <c r="AZ46" i="1"/>
  <c r="BA46" i="1"/>
  <c r="BB46" i="1"/>
  <c r="BC46" i="1"/>
  <c r="BD46" i="1"/>
  <c r="BE46" i="1"/>
  <c r="BG46" i="1"/>
  <c r="BI46" i="1"/>
  <c r="BL46" i="1"/>
  <c r="AX72" i="1"/>
  <c r="AY72" i="1"/>
  <c r="AZ72" i="1"/>
  <c r="BA72" i="1"/>
  <c r="BB72" i="1"/>
  <c r="BC72" i="1"/>
  <c r="BD72" i="1"/>
  <c r="BE72" i="1"/>
  <c r="BG72" i="1"/>
  <c r="BI72" i="1"/>
  <c r="BL72" i="1"/>
  <c r="AX29" i="1"/>
  <c r="AY29" i="1"/>
  <c r="AZ29" i="1"/>
  <c r="BA29" i="1"/>
  <c r="BB29" i="1"/>
  <c r="BC29" i="1"/>
  <c r="BD29" i="1"/>
  <c r="BE29" i="1"/>
  <c r="BG29" i="1"/>
  <c r="BI29" i="1"/>
  <c r="BL29" i="1"/>
  <c r="AX49" i="1"/>
  <c r="AY49" i="1"/>
  <c r="AZ49" i="1"/>
  <c r="BA49" i="1"/>
  <c r="BB49" i="1"/>
  <c r="BC49" i="1"/>
  <c r="BD49" i="1"/>
  <c r="BE49" i="1"/>
  <c r="BG49" i="1"/>
  <c r="BI49" i="1"/>
  <c r="BL49" i="1"/>
  <c r="AX51" i="1"/>
  <c r="AY51" i="1"/>
  <c r="AZ51" i="1"/>
  <c r="BA51" i="1"/>
  <c r="BB51" i="1"/>
  <c r="BC51" i="1"/>
  <c r="BD51" i="1"/>
  <c r="BE51" i="1"/>
  <c r="BG51" i="1"/>
  <c r="BI51" i="1"/>
  <c r="BL51" i="1"/>
  <c r="AX50" i="1"/>
  <c r="AY50" i="1"/>
  <c r="AZ50" i="1"/>
  <c r="BA50" i="1"/>
  <c r="BB50" i="1"/>
  <c r="BC50" i="1"/>
  <c r="BD50" i="1"/>
  <c r="BE50" i="1"/>
  <c r="BG50" i="1"/>
  <c r="BI50" i="1"/>
  <c r="BL50" i="1"/>
  <c r="AX174" i="1"/>
  <c r="AY174" i="1"/>
  <c r="AZ174" i="1"/>
  <c r="BA174" i="1"/>
  <c r="BB174" i="1"/>
  <c r="BC174" i="1"/>
  <c r="BD174" i="1"/>
  <c r="BE174" i="1"/>
  <c r="BG174" i="1"/>
  <c r="BI174" i="1"/>
  <c r="BL174" i="1"/>
  <c r="AX145" i="1"/>
  <c r="AY145" i="1"/>
  <c r="AZ145" i="1"/>
  <c r="BA145" i="1"/>
  <c r="BB145" i="1"/>
  <c r="BC145" i="1"/>
  <c r="BD145" i="1"/>
  <c r="BE145" i="1"/>
  <c r="BG145" i="1"/>
  <c r="BI145" i="1"/>
  <c r="BL145" i="1"/>
  <c r="AX147" i="1"/>
  <c r="AY147" i="1"/>
  <c r="AZ147" i="1"/>
  <c r="BA147" i="1"/>
  <c r="BB147" i="1"/>
  <c r="BC147" i="1"/>
  <c r="BD147" i="1"/>
  <c r="BE147" i="1"/>
  <c r="BG147" i="1"/>
  <c r="BI147" i="1"/>
  <c r="BL147" i="1"/>
  <c r="AX164" i="1"/>
  <c r="AY164" i="1"/>
  <c r="AZ164" i="1"/>
  <c r="BA164" i="1"/>
  <c r="BB164" i="1"/>
  <c r="BC164" i="1"/>
  <c r="BD164" i="1"/>
  <c r="BE164" i="1"/>
  <c r="BG164" i="1"/>
  <c r="BI164" i="1"/>
  <c r="BL164" i="1"/>
  <c r="AX140" i="1"/>
  <c r="AY140" i="1"/>
  <c r="AZ140" i="1"/>
  <c r="BA140" i="1"/>
  <c r="BB140" i="1"/>
  <c r="BC140" i="1"/>
  <c r="BD140" i="1"/>
  <c r="BE140" i="1"/>
  <c r="BG140" i="1"/>
  <c r="BI140" i="1"/>
  <c r="BL140" i="1"/>
  <c r="AX91" i="1"/>
  <c r="AY91" i="1"/>
  <c r="AZ91" i="1"/>
  <c r="BA91" i="1"/>
  <c r="BB91" i="1"/>
  <c r="BC91" i="1"/>
  <c r="BD91" i="1"/>
  <c r="BE91" i="1"/>
  <c r="BG91" i="1"/>
  <c r="BI91" i="1"/>
  <c r="BL91" i="1"/>
  <c r="AX28" i="1"/>
  <c r="AY28" i="1"/>
  <c r="AZ28" i="1"/>
  <c r="BA28" i="1"/>
  <c r="BB28" i="1"/>
  <c r="BC28" i="1"/>
  <c r="BD28" i="1"/>
  <c r="BE28" i="1"/>
  <c r="BG28" i="1"/>
  <c r="BI28" i="1"/>
  <c r="BL28" i="1"/>
  <c r="AX17" i="1"/>
  <c r="AY17" i="1"/>
  <c r="AZ17" i="1"/>
  <c r="BA17" i="1"/>
  <c r="BB17" i="1"/>
  <c r="BC17" i="1"/>
  <c r="BD17" i="1"/>
  <c r="BE17" i="1"/>
  <c r="BG17" i="1"/>
  <c r="BI17" i="1"/>
  <c r="BL17" i="1"/>
  <c r="AX21" i="1"/>
  <c r="AY21" i="1"/>
  <c r="AZ21" i="1"/>
  <c r="BA21" i="1"/>
  <c r="BB21" i="1"/>
  <c r="BC21" i="1"/>
  <c r="BD21" i="1"/>
  <c r="BE21" i="1"/>
  <c r="BG21" i="1"/>
  <c r="BI21" i="1"/>
  <c r="BL21" i="1"/>
  <c r="AX75" i="1"/>
  <c r="AY75" i="1"/>
  <c r="AZ75" i="1"/>
  <c r="BA75" i="1"/>
  <c r="BB75" i="1"/>
  <c r="BC75" i="1"/>
  <c r="BD75" i="1"/>
  <c r="BE75" i="1"/>
  <c r="BG75" i="1"/>
  <c r="BI75" i="1"/>
  <c r="BL75" i="1"/>
  <c r="AX99" i="1"/>
  <c r="AY99" i="1"/>
  <c r="AZ99" i="1"/>
  <c r="BA99" i="1"/>
  <c r="BB99" i="1"/>
  <c r="BC99" i="1"/>
  <c r="BD99" i="1"/>
  <c r="BE99" i="1"/>
  <c r="BG99" i="1"/>
  <c r="BI99" i="1"/>
  <c r="BL99" i="1"/>
  <c r="AX11" i="1"/>
  <c r="AY11" i="1"/>
  <c r="AZ11" i="1"/>
  <c r="BA11" i="1"/>
  <c r="BB11" i="1"/>
  <c r="BC11" i="1"/>
  <c r="BD11" i="1"/>
  <c r="BE11" i="1"/>
  <c r="BG11" i="1"/>
  <c r="BI11" i="1"/>
  <c r="BL11" i="1"/>
  <c r="AX194" i="1"/>
  <c r="AY194" i="1"/>
  <c r="AZ194" i="1"/>
  <c r="BA194" i="1"/>
  <c r="BB194" i="1"/>
  <c r="BC194" i="1"/>
  <c r="BD194" i="1"/>
  <c r="BE194" i="1"/>
  <c r="BG194" i="1"/>
  <c r="BI194" i="1"/>
  <c r="BL194" i="1"/>
  <c r="AX66" i="1"/>
  <c r="AY66" i="1"/>
  <c r="AZ66" i="1"/>
  <c r="BA66" i="1"/>
  <c r="BB66" i="1"/>
  <c r="BC66" i="1"/>
  <c r="BD66" i="1"/>
  <c r="BE66" i="1"/>
  <c r="BG66" i="1"/>
  <c r="BI66" i="1"/>
  <c r="BL66" i="1"/>
  <c r="AX63" i="1"/>
  <c r="AY63" i="1"/>
  <c r="AZ63" i="1"/>
  <c r="BA63" i="1"/>
  <c r="BB63" i="1"/>
  <c r="BC63" i="1"/>
  <c r="BD63" i="1"/>
  <c r="BE63" i="1"/>
  <c r="BG63" i="1"/>
  <c r="BI63" i="1"/>
  <c r="BL63" i="1"/>
  <c r="AX94" i="1"/>
  <c r="AY94" i="1"/>
  <c r="AZ94" i="1"/>
  <c r="BA94" i="1"/>
  <c r="BB94" i="1"/>
  <c r="BC94" i="1"/>
  <c r="BD94" i="1"/>
  <c r="BE94" i="1"/>
  <c r="BG94" i="1"/>
  <c r="BI94" i="1"/>
  <c r="BL94" i="1"/>
  <c r="AX95" i="1"/>
  <c r="AY95" i="1"/>
  <c r="AZ95" i="1"/>
  <c r="BA95" i="1"/>
  <c r="BB95" i="1"/>
  <c r="BC95" i="1"/>
  <c r="BD95" i="1"/>
  <c r="BE95" i="1"/>
  <c r="BG95" i="1"/>
  <c r="BI95" i="1"/>
  <c r="BL95" i="1"/>
  <c r="AX20" i="1"/>
  <c r="AY20" i="1"/>
  <c r="AZ20" i="1"/>
  <c r="BA20" i="1"/>
  <c r="BB20" i="1"/>
  <c r="BC20" i="1"/>
  <c r="BD20" i="1"/>
  <c r="BE20" i="1"/>
  <c r="BG20" i="1"/>
  <c r="BI20" i="1"/>
  <c r="BL20" i="1"/>
  <c r="AX48" i="1"/>
  <c r="AY48" i="1"/>
  <c r="AZ48" i="1"/>
  <c r="BA48" i="1"/>
  <c r="BB48" i="1"/>
  <c r="BC48" i="1"/>
  <c r="BD48" i="1"/>
  <c r="BE48" i="1"/>
  <c r="BG48" i="1"/>
  <c r="BI48" i="1"/>
  <c r="BL48" i="1"/>
  <c r="AX47" i="1"/>
  <c r="AY47" i="1"/>
  <c r="AZ47" i="1"/>
  <c r="BA47" i="1"/>
  <c r="BB47" i="1"/>
  <c r="BC47" i="1"/>
  <c r="BD47" i="1"/>
  <c r="BE47" i="1"/>
  <c r="BG47" i="1"/>
  <c r="BI47" i="1"/>
  <c r="BL47" i="1"/>
  <c r="AX155" i="1"/>
  <c r="AY155" i="1"/>
  <c r="AZ155" i="1"/>
  <c r="BA155" i="1"/>
  <c r="BB155" i="1"/>
  <c r="BC155" i="1"/>
  <c r="BD155" i="1"/>
  <c r="BE155" i="1"/>
  <c r="BG155" i="1"/>
  <c r="BI155" i="1"/>
  <c r="BL155" i="1"/>
  <c r="AX188" i="1"/>
  <c r="AY188" i="1"/>
  <c r="AZ188" i="1"/>
  <c r="BA188" i="1"/>
  <c r="BB188" i="1"/>
  <c r="BC188" i="1"/>
  <c r="BD188" i="1"/>
  <c r="BE188" i="1"/>
  <c r="BG188" i="1"/>
  <c r="BI188" i="1"/>
  <c r="BL188" i="1"/>
  <c r="AX67" i="1"/>
  <c r="AY67" i="1"/>
  <c r="AZ67" i="1"/>
  <c r="BA67" i="1"/>
  <c r="BB67" i="1"/>
  <c r="BC67" i="1"/>
  <c r="BD67" i="1"/>
  <c r="BE67" i="1"/>
  <c r="BG67" i="1"/>
  <c r="BI67" i="1"/>
  <c r="BL67" i="1"/>
  <c r="AX198" i="1"/>
  <c r="AY198" i="1"/>
  <c r="AZ198" i="1"/>
  <c r="BA198" i="1"/>
  <c r="BB198" i="1"/>
  <c r="BC198" i="1"/>
  <c r="BD198" i="1"/>
  <c r="BE198" i="1"/>
  <c r="BG198" i="1"/>
  <c r="BI198" i="1"/>
  <c r="BL198" i="1"/>
  <c r="AX129" i="1"/>
  <c r="AY129" i="1"/>
  <c r="AZ129" i="1"/>
  <c r="BA129" i="1"/>
  <c r="BB129" i="1"/>
  <c r="BC129" i="1"/>
  <c r="BD129" i="1"/>
  <c r="BE129" i="1"/>
  <c r="BG129" i="1"/>
  <c r="BI129" i="1"/>
  <c r="BL129" i="1"/>
  <c r="AX184" i="1"/>
  <c r="AY184" i="1"/>
  <c r="AZ184" i="1"/>
  <c r="BA184" i="1"/>
  <c r="BB184" i="1"/>
  <c r="BC184" i="1"/>
  <c r="BD184" i="1"/>
  <c r="BE184" i="1"/>
  <c r="BG184" i="1"/>
  <c r="BI184" i="1"/>
  <c r="BL184" i="1"/>
  <c r="AX158" i="1"/>
  <c r="AY158" i="1"/>
  <c r="AZ158" i="1"/>
  <c r="BA158" i="1"/>
  <c r="BB158" i="1"/>
  <c r="BC158" i="1"/>
  <c r="BD158" i="1"/>
  <c r="BE158" i="1"/>
  <c r="BG158" i="1"/>
  <c r="BI158" i="1"/>
  <c r="BL158" i="1"/>
  <c r="AX123" i="1"/>
  <c r="AY123" i="1"/>
  <c r="AZ123" i="1"/>
  <c r="BA123" i="1"/>
  <c r="BB123" i="1"/>
  <c r="BC123" i="1"/>
  <c r="BD123" i="1"/>
  <c r="BE123" i="1"/>
  <c r="BG123" i="1"/>
  <c r="BI123" i="1"/>
  <c r="BL123" i="1"/>
  <c r="AX185" i="1"/>
  <c r="AY185" i="1"/>
  <c r="AZ185" i="1"/>
  <c r="BA185" i="1"/>
  <c r="BB185" i="1"/>
  <c r="BC185" i="1"/>
  <c r="BD185" i="1"/>
  <c r="BE185" i="1"/>
  <c r="BG185" i="1"/>
  <c r="BI185" i="1"/>
  <c r="BL185" i="1"/>
  <c r="AX187" i="1"/>
  <c r="AY187" i="1"/>
  <c r="AZ187" i="1"/>
  <c r="BA187" i="1"/>
  <c r="BB187" i="1"/>
  <c r="BC187" i="1"/>
  <c r="BD187" i="1"/>
  <c r="BE187" i="1"/>
  <c r="BG187" i="1"/>
  <c r="BI187" i="1"/>
  <c r="BL187" i="1"/>
  <c r="AX152" i="1"/>
  <c r="AY152" i="1"/>
  <c r="AZ152" i="1"/>
  <c r="BA152" i="1"/>
  <c r="BB152" i="1"/>
  <c r="BC152" i="1"/>
  <c r="BD152" i="1"/>
  <c r="BE152" i="1"/>
  <c r="BG152" i="1"/>
  <c r="BI152" i="1"/>
  <c r="BL152" i="1"/>
  <c r="AX190" i="1"/>
  <c r="AY190" i="1"/>
  <c r="AZ190" i="1"/>
  <c r="BA190" i="1"/>
  <c r="BB190" i="1"/>
  <c r="BC190" i="1"/>
  <c r="BD190" i="1"/>
  <c r="BE190" i="1"/>
  <c r="BG190" i="1"/>
  <c r="BI190" i="1"/>
  <c r="BL190" i="1"/>
  <c r="AX127" i="1"/>
  <c r="AY127" i="1"/>
  <c r="AZ127" i="1"/>
  <c r="BA127" i="1"/>
  <c r="BB127" i="1"/>
  <c r="BC127" i="1"/>
  <c r="BD127" i="1"/>
  <c r="BE127" i="1"/>
  <c r="BG127" i="1"/>
  <c r="BI127" i="1"/>
  <c r="BL127" i="1"/>
  <c r="AX102" i="1"/>
  <c r="AY102" i="1"/>
  <c r="AZ102" i="1"/>
  <c r="BA102" i="1"/>
  <c r="BB102" i="1"/>
  <c r="BC102" i="1"/>
  <c r="BD102" i="1"/>
  <c r="BE102" i="1"/>
  <c r="BG102" i="1"/>
  <c r="BI102" i="1"/>
  <c r="BL102" i="1"/>
  <c r="AX163" i="1"/>
  <c r="AY163" i="1"/>
  <c r="AZ163" i="1"/>
  <c r="BA163" i="1"/>
  <c r="BB163" i="1"/>
  <c r="BC163" i="1"/>
  <c r="BD163" i="1"/>
  <c r="BE163" i="1"/>
  <c r="BG163" i="1"/>
  <c r="BI163" i="1"/>
  <c r="BL163" i="1"/>
  <c r="AX115" i="1"/>
  <c r="AY115" i="1"/>
  <c r="AZ115" i="1"/>
  <c r="BA115" i="1"/>
  <c r="BB115" i="1"/>
  <c r="BC115" i="1"/>
  <c r="BD115" i="1"/>
  <c r="BE115" i="1"/>
  <c r="BG115" i="1"/>
  <c r="BI115" i="1"/>
  <c r="BL115" i="1"/>
  <c r="AX172" i="1"/>
  <c r="AY172" i="1"/>
  <c r="AZ172" i="1"/>
  <c r="BA172" i="1"/>
  <c r="BB172" i="1"/>
  <c r="BC172" i="1"/>
  <c r="BD172" i="1"/>
  <c r="BE172" i="1"/>
  <c r="BG172" i="1"/>
  <c r="BI172" i="1"/>
  <c r="BL172" i="1"/>
  <c r="AX180" i="1"/>
  <c r="AY180" i="1"/>
  <c r="AZ180" i="1"/>
  <c r="BA180" i="1"/>
  <c r="BB180" i="1"/>
  <c r="BC180" i="1"/>
  <c r="BD180" i="1"/>
  <c r="BE180" i="1"/>
  <c r="BG180" i="1"/>
  <c r="BI180" i="1"/>
  <c r="BL180" i="1"/>
  <c r="AX110" i="1"/>
  <c r="AY110" i="1"/>
  <c r="AZ110" i="1"/>
  <c r="BA110" i="1"/>
  <c r="BB110" i="1"/>
  <c r="BC110" i="1"/>
  <c r="BD110" i="1"/>
  <c r="BE110" i="1"/>
  <c r="BG110" i="1"/>
  <c r="BI110" i="1"/>
  <c r="BL110" i="1"/>
  <c r="AX113" i="1"/>
  <c r="AY113" i="1"/>
  <c r="AZ113" i="1"/>
  <c r="BA113" i="1"/>
  <c r="BB113" i="1"/>
  <c r="BC113" i="1"/>
  <c r="BD113" i="1"/>
  <c r="BE113" i="1"/>
  <c r="BG113" i="1"/>
  <c r="BI113" i="1"/>
  <c r="BL113" i="1"/>
  <c r="AX199" i="1"/>
  <c r="AY199" i="1"/>
  <c r="AZ199" i="1"/>
  <c r="BA199" i="1"/>
  <c r="BB199" i="1"/>
  <c r="BC199" i="1"/>
  <c r="BD199" i="1"/>
  <c r="BE199" i="1"/>
  <c r="BG199" i="1"/>
  <c r="BI199" i="1"/>
  <c r="BL199" i="1"/>
  <c r="AX143" i="1"/>
  <c r="AY143" i="1"/>
  <c r="AZ143" i="1"/>
  <c r="BA143" i="1"/>
  <c r="BB143" i="1"/>
  <c r="BC143" i="1"/>
  <c r="BD143" i="1"/>
  <c r="BE143" i="1"/>
  <c r="BG143" i="1"/>
  <c r="BI143" i="1"/>
  <c r="BL143" i="1"/>
  <c r="AX154" i="1"/>
  <c r="AY154" i="1"/>
  <c r="AZ154" i="1"/>
  <c r="BA154" i="1"/>
  <c r="BB154" i="1"/>
  <c r="BC154" i="1"/>
  <c r="BD154" i="1"/>
  <c r="BE154" i="1"/>
  <c r="BG154" i="1"/>
  <c r="BI154" i="1"/>
  <c r="BL154" i="1"/>
  <c r="AX149" i="1"/>
  <c r="AY149" i="1"/>
  <c r="AZ149" i="1"/>
  <c r="BA149" i="1"/>
  <c r="BB149" i="1"/>
  <c r="BC149" i="1"/>
  <c r="BD149" i="1"/>
  <c r="BE149" i="1"/>
  <c r="BG149" i="1"/>
  <c r="BI149" i="1"/>
  <c r="BL149" i="1"/>
  <c r="AX189" i="1"/>
  <c r="AY189" i="1"/>
  <c r="AZ189" i="1"/>
  <c r="BA189" i="1"/>
  <c r="BB189" i="1"/>
  <c r="BC189" i="1"/>
  <c r="BD189" i="1"/>
  <c r="BE189" i="1"/>
  <c r="BG189" i="1"/>
  <c r="BI189" i="1"/>
  <c r="BL189" i="1"/>
  <c r="AX136" i="1"/>
  <c r="AY136" i="1"/>
  <c r="AZ136" i="1"/>
  <c r="BA136" i="1"/>
  <c r="BB136" i="1"/>
  <c r="BC136" i="1"/>
  <c r="BD136" i="1"/>
  <c r="BE136" i="1"/>
  <c r="BG136" i="1"/>
  <c r="BI136" i="1"/>
  <c r="BL136" i="1"/>
  <c r="AX139" i="1"/>
  <c r="AY139" i="1"/>
  <c r="AZ139" i="1"/>
  <c r="BA139" i="1"/>
  <c r="BB139" i="1"/>
  <c r="BC139" i="1"/>
  <c r="BD139" i="1"/>
  <c r="BE139" i="1"/>
  <c r="BG139" i="1"/>
  <c r="BI139" i="1"/>
  <c r="BL139" i="1"/>
  <c r="AX153" i="1"/>
  <c r="AY153" i="1"/>
  <c r="AZ153" i="1"/>
  <c r="BA153" i="1"/>
  <c r="BB153" i="1"/>
  <c r="BC153" i="1"/>
  <c r="BD153" i="1"/>
  <c r="BE153" i="1"/>
  <c r="BG153" i="1"/>
  <c r="BI153" i="1"/>
  <c r="BL153" i="1"/>
  <c r="AX165" i="1"/>
  <c r="AY165" i="1"/>
  <c r="AZ165" i="1"/>
  <c r="BA165" i="1"/>
  <c r="BB165" i="1"/>
  <c r="BC165" i="1"/>
  <c r="BD165" i="1"/>
  <c r="BE165" i="1"/>
  <c r="BG165" i="1"/>
  <c r="BI165" i="1"/>
  <c r="BL165" i="1"/>
  <c r="AX118" i="1"/>
  <c r="AY118" i="1"/>
  <c r="AZ118" i="1"/>
  <c r="BA118" i="1"/>
  <c r="BB118" i="1"/>
  <c r="BC118" i="1"/>
  <c r="BD118" i="1"/>
  <c r="BE118" i="1"/>
  <c r="BG118" i="1"/>
  <c r="BI118" i="1"/>
  <c r="BL118" i="1"/>
  <c r="AX121" i="1"/>
  <c r="AY121" i="1"/>
  <c r="AZ121" i="1"/>
  <c r="BA121" i="1"/>
  <c r="BB121" i="1"/>
  <c r="BC121" i="1"/>
  <c r="BD121" i="1"/>
  <c r="BE121" i="1"/>
  <c r="BG121" i="1"/>
  <c r="BI121" i="1"/>
  <c r="BL121" i="1"/>
  <c r="AX173" i="1"/>
  <c r="AY173" i="1"/>
  <c r="AZ173" i="1"/>
  <c r="BA173" i="1"/>
  <c r="BB173" i="1"/>
  <c r="BC173" i="1"/>
  <c r="BD173" i="1"/>
  <c r="BE173" i="1"/>
  <c r="BG173" i="1"/>
  <c r="BI173" i="1"/>
  <c r="BL173" i="1"/>
  <c r="AX100" i="1"/>
  <c r="AY100" i="1"/>
  <c r="AZ100" i="1"/>
  <c r="BA100" i="1"/>
  <c r="BB100" i="1"/>
  <c r="BC100" i="1"/>
  <c r="BD100" i="1"/>
  <c r="BE100" i="1"/>
  <c r="BG100" i="1"/>
  <c r="BI100" i="1"/>
  <c r="BL100" i="1"/>
  <c r="AX148" i="1"/>
  <c r="AY148" i="1"/>
  <c r="AZ148" i="1"/>
  <c r="BA148" i="1"/>
  <c r="BB148" i="1"/>
  <c r="BC148" i="1"/>
  <c r="BD148" i="1"/>
  <c r="BE148" i="1"/>
  <c r="BG148" i="1"/>
  <c r="BI148" i="1"/>
  <c r="BL148" i="1"/>
  <c r="AX156" i="1"/>
  <c r="AY156" i="1"/>
  <c r="AZ156" i="1"/>
  <c r="BA156" i="1"/>
  <c r="BB156" i="1"/>
  <c r="BC156" i="1"/>
  <c r="BD156" i="1"/>
  <c r="BE156" i="1"/>
  <c r="BG156" i="1"/>
  <c r="BI156" i="1"/>
  <c r="BL156" i="1"/>
  <c r="AX108" i="1"/>
  <c r="AY108" i="1"/>
  <c r="AZ108" i="1"/>
  <c r="BA108" i="1"/>
  <c r="BB108" i="1"/>
  <c r="BC108" i="1"/>
  <c r="BD108" i="1"/>
  <c r="BE108" i="1"/>
  <c r="BG108" i="1"/>
  <c r="BI108" i="1"/>
  <c r="BL108" i="1"/>
  <c r="AX186" i="1"/>
  <c r="AY186" i="1"/>
  <c r="AZ186" i="1"/>
  <c r="BA186" i="1"/>
  <c r="BB186" i="1"/>
  <c r="BC186" i="1"/>
  <c r="BD186" i="1"/>
  <c r="BE186" i="1"/>
  <c r="BG186" i="1"/>
  <c r="BI186" i="1"/>
  <c r="BL186" i="1"/>
  <c r="AX181" i="1"/>
  <c r="AY181" i="1"/>
  <c r="AZ181" i="1"/>
  <c r="BA181" i="1"/>
  <c r="BB181" i="1"/>
  <c r="BC181" i="1"/>
  <c r="BD181" i="1"/>
  <c r="BE181" i="1"/>
  <c r="BG181" i="1"/>
  <c r="BI181" i="1"/>
  <c r="BL181" i="1"/>
  <c r="AX98" i="1"/>
  <c r="AY98" i="1"/>
  <c r="AZ98" i="1"/>
  <c r="BA98" i="1"/>
  <c r="BB98" i="1"/>
  <c r="BC98" i="1"/>
  <c r="BD98" i="1"/>
  <c r="BE98" i="1"/>
  <c r="BG98" i="1"/>
  <c r="BI98" i="1"/>
  <c r="BL98" i="1"/>
  <c r="AX146" i="1"/>
  <c r="AY146" i="1"/>
  <c r="AZ146" i="1"/>
  <c r="BA146" i="1"/>
  <c r="BB146" i="1"/>
  <c r="BC146" i="1"/>
  <c r="BD146" i="1"/>
  <c r="BE146" i="1"/>
  <c r="BG146" i="1"/>
  <c r="BI146" i="1"/>
  <c r="BL146" i="1"/>
  <c r="AX161" i="1"/>
  <c r="AY161" i="1"/>
  <c r="AZ161" i="1"/>
  <c r="BA161" i="1"/>
  <c r="BB161" i="1"/>
  <c r="BC161" i="1"/>
  <c r="BD161" i="1"/>
  <c r="BE161" i="1"/>
  <c r="BG161" i="1"/>
  <c r="BI161" i="1"/>
  <c r="BL161" i="1"/>
  <c r="AX183" i="1"/>
  <c r="AY183" i="1"/>
  <c r="AZ183" i="1"/>
  <c r="BA183" i="1"/>
  <c r="BB183" i="1"/>
  <c r="BC183" i="1"/>
  <c r="BD183" i="1"/>
  <c r="BE183" i="1"/>
  <c r="BG183" i="1"/>
  <c r="BI183" i="1"/>
  <c r="BL183" i="1"/>
  <c r="AX193" i="1"/>
  <c r="AY193" i="1"/>
  <c r="AZ193" i="1"/>
  <c r="BA193" i="1"/>
  <c r="BB193" i="1"/>
  <c r="BC193" i="1"/>
  <c r="BD193" i="1"/>
  <c r="BE193" i="1"/>
  <c r="BG193" i="1"/>
  <c r="BI193" i="1"/>
  <c r="BL193" i="1"/>
  <c r="AX114" i="1"/>
  <c r="AY114" i="1"/>
  <c r="AZ114" i="1"/>
  <c r="BA114" i="1"/>
  <c r="BB114" i="1"/>
  <c r="BC114" i="1"/>
  <c r="BD114" i="1"/>
  <c r="BE114" i="1"/>
  <c r="BG114" i="1"/>
  <c r="BI114" i="1"/>
  <c r="BL114" i="1"/>
  <c r="AX60" i="1"/>
  <c r="AY60" i="1"/>
  <c r="AZ60" i="1"/>
  <c r="BA60" i="1"/>
  <c r="BB60" i="1"/>
  <c r="BC60" i="1"/>
  <c r="BD60" i="1"/>
  <c r="BE60" i="1"/>
  <c r="BG60" i="1"/>
  <c r="BI60" i="1"/>
  <c r="BL60" i="1"/>
  <c r="AX178" i="1"/>
  <c r="AY178" i="1"/>
  <c r="AZ178" i="1"/>
  <c r="BA178" i="1"/>
  <c r="BB178" i="1"/>
  <c r="BC178" i="1"/>
  <c r="BD178" i="1"/>
  <c r="BE178" i="1"/>
  <c r="BG178" i="1"/>
  <c r="BI178" i="1"/>
  <c r="BL178" i="1"/>
  <c r="AX107" i="1"/>
  <c r="AY107" i="1"/>
  <c r="AZ107" i="1"/>
  <c r="BA107" i="1"/>
  <c r="BB107" i="1"/>
  <c r="BC107" i="1"/>
  <c r="BD107" i="1"/>
  <c r="BE107" i="1"/>
  <c r="BG107" i="1"/>
  <c r="BI107" i="1"/>
  <c r="BL107" i="1"/>
  <c r="AX191" i="1"/>
  <c r="AY191" i="1"/>
  <c r="AZ191" i="1"/>
  <c r="BA191" i="1"/>
  <c r="BB191" i="1"/>
  <c r="BC191" i="1"/>
  <c r="BD191" i="1"/>
  <c r="BE191" i="1"/>
  <c r="BG191" i="1"/>
  <c r="BI191" i="1"/>
  <c r="BL191" i="1"/>
  <c r="AX134" i="1"/>
  <c r="AY134" i="1"/>
  <c r="AZ134" i="1"/>
  <c r="BA134" i="1"/>
  <c r="BB134" i="1"/>
  <c r="BC134" i="1"/>
  <c r="BD134" i="1"/>
  <c r="BE134" i="1"/>
  <c r="BG134" i="1"/>
  <c r="BI134" i="1"/>
  <c r="BL134" i="1"/>
  <c r="AX112" i="1"/>
  <c r="AY112" i="1"/>
  <c r="AZ112" i="1"/>
  <c r="BA112" i="1"/>
  <c r="BB112" i="1"/>
  <c r="BC112" i="1"/>
  <c r="BD112" i="1"/>
  <c r="BE112" i="1"/>
  <c r="BG112" i="1"/>
  <c r="BI112" i="1"/>
  <c r="BL112" i="1"/>
  <c r="AX182" i="1"/>
  <c r="AY182" i="1"/>
  <c r="AZ182" i="1"/>
  <c r="BA182" i="1"/>
  <c r="BB182" i="1"/>
  <c r="BC182" i="1"/>
  <c r="BD182" i="1"/>
  <c r="BE182" i="1"/>
  <c r="BG182" i="1"/>
  <c r="BI182" i="1"/>
  <c r="BL182" i="1"/>
  <c r="AX200" i="1"/>
  <c r="AY200" i="1"/>
  <c r="AZ200" i="1"/>
  <c r="BA200" i="1"/>
  <c r="BB200" i="1"/>
  <c r="BC200" i="1"/>
  <c r="BD200" i="1"/>
  <c r="BE200" i="1"/>
  <c r="BG200" i="1"/>
  <c r="BI200" i="1"/>
  <c r="BL200" i="1"/>
  <c r="AX157" i="1"/>
  <c r="AY157" i="1"/>
  <c r="AZ157" i="1"/>
  <c r="BA157" i="1"/>
  <c r="BB157" i="1"/>
  <c r="BC157" i="1"/>
  <c r="BD157" i="1"/>
  <c r="BE157" i="1"/>
  <c r="BG157" i="1"/>
  <c r="BI157" i="1"/>
  <c r="BL157" i="1"/>
  <c r="AX130" i="1"/>
  <c r="AY130" i="1"/>
  <c r="AZ130" i="1"/>
  <c r="BA130" i="1"/>
  <c r="BB130" i="1"/>
  <c r="BC130" i="1"/>
  <c r="BD130" i="1"/>
  <c r="BE130" i="1"/>
  <c r="BG130" i="1"/>
  <c r="BI130" i="1"/>
  <c r="BL130" i="1"/>
  <c r="AX142" i="1"/>
  <c r="AY142" i="1"/>
  <c r="AZ142" i="1"/>
  <c r="BA142" i="1"/>
  <c r="BB142" i="1"/>
  <c r="BC142" i="1"/>
  <c r="BD142" i="1"/>
  <c r="BE142" i="1"/>
  <c r="BG142" i="1"/>
  <c r="BI142" i="1"/>
  <c r="BL142" i="1"/>
  <c r="AX132" i="1"/>
  <c r="AY132" i="1"/>
  <c r="AZ132" i="1"/>
  <c r="BA132" i="1"/>
  <c r="BB132" i="1"/>
  <c r="BC132" i="1"/>
  <c r="BD132" i="1"/>
  <c r="BE132" i="1"/>
  <c r="BG132" i="1"/>
  <c r="BI132" i="1"/>
  <c r="BL132" i="1"/>
  <c r="AX120" i="1"/>
  <c r="AY120" i="1"/>
  <c r="AZ120" i="1"/>
  <c r="BA120" i="1"/>
  <c r="BB120" i="1"/>
  <c r="BC120" i="1"/>
  <c r="BD120" i="1"/>
  <c r="BE120" i="1"/>
  <c r="BG120" i="1"/>
  <c r="BI120" i="1"/>
  <c r="BL120" i="1"/>
  <c r="AX176" i="1"/>
  <c r="AY176" i="1"/>
  <c r="AZ176" i="1"/>
  <c r="BA176" i="1"/>
  <c r="BB176" i="1"/>
  <c r="BC176" i="1"/>
  <c r="BD176" i="1"/>
  <c r="BE176" i="1"/>
  <c r="BG176" i="1"/>
  <c r="BI176" i="1"/>
  <c r="BL176" i="1"/>
  <c r="AX167" i="1"/>
  <c r="AY167" i="1"/>
  <c r="AZ167" i="1"/>
  <c r="BA167" i="1"/>
  <c r="BB167" i="1"/>
  <c r="BC167" i="1"/>
  <c r="BD167" i="1"/>
  <c r="BE167" i="1"/>
  <c r="BG167" i="1"/>
  <c r="BI167" i="1"/>
  <c r="BL167" i="1"/>
  <c r="AX151" i="1"/>
  <c r="AY151" i="1"/>
  <c r="AZ151" i="1"/>
  <c r="BA151" i="1"/>
  <c r="BB151" i="1"/>
  <c r="BC151" i="1"/>
  <c r="BD151" i="1"/>
  <c r="BE151" i="1"/>
  <c r="BG151" i="1"/>
  <c r="BI151" i="1"/>
  <c r="BL151" i="1"/>
  <c r="AX124" i="1"/>
  <c r="AY124" i="1"/>
  <c r="AZ124" i="1"/>
  <c r="BA124" i="1"/>
  <c r="BB124" i="1"/>
  <c r="BC124" i="1"/>
  <c r="BD124" i="1"/>
  <c r="BE124" i="1"/>
  <c r="BG124" i="1"/>
  <c r="BI124" i="1"/>
  <c r="BL124" i="1"/>
  <c r="AX195" i="1"/>
  <c r="AY195" i="1"/>
  <c r="AZ195" i="1"/>
  <c r="BA195" i="1"/>
  <c r="BB195" i="1"/>
  <c r="BC195" i="1"/>
  <c r="BD195" i="1"/>
  <c r="BE195" i="1"/>
  <c r="BG195" i="1"/>
  <c r="BI195" i="1"/>
  <c r="BL195" i="1"/>
  <c r="AX141" i="1"/>
  <c r="AY141" i="1"/>
  <c r="AZ141" i="1"/>
  <c r="BA141" i="1"/>
  <c r="BB141" i="1"/>
  <c r="BC141" i="1"/>
  <c r="BD141" i="1"/>
  <c r="BE141" i="1"/>
  <c r="BG141" i="1"/>
  <c r="BI141" i="1"/>
  <c r="BL141" i="1"/>
  <c r="AX179" i="1"/>
  <c r="AY179" i="1"/>
  <c r="AZ179" i="1"/>
  <c r="BA179" i="1"/>
  <c r="BB179" i="1"/>
  <c r="BC179" i="1"/>
  <c r="BD179" i="1"/>
  <c r="BE179" i="1"/>
  <c r="BG179" i="1"/>
  <c r="BI179" i="1"/>
  <c r="BL179" i="1"/>
  <c r="AX138" i="1"/>
  <c r="AY138" i="1"/>
  <c r="AZ138" i="1"/>
  <c r="BA138" i="1"/>
  <c r="BB138" i="1"/>
  <c r="BC138" i="1"/>
  <c r="BD138" i="1"/>
  <c r="BE138" i="1"/>
  <c r="BG138" i="1"/>
  <c r="BI138" i="1"/>
  <c r="BL138" i="1"/>
  <c r="AX122" i="1"/>
  <c r="AY122" i="1"/>
  <c r="AZ122" i="1"/>
  <c r="BA122" i="1"/>
  <c r="BB122" i="1"/>
  <c r="BC122" i="1"/>
  <c r="BD122" i="1"/>
  <c r="BE122" i="1"/>
  <c r="BG122" i="1"/>
  <c r="BI122" i="1"/>
  <c r="BL122" i="1"/>
  <c r="AX116" i="1"/>
  <c r="AY116" i="1"/>
  <c r="AZ116" i="1"/>
  <c r="BA116" i="1"/>
  <c r="BB116" i="1"/>
  <c r="BC116" i="1"/>
  <c r="BD116" i="1"/>
  <c r="BE116" i="1"/>
  <c r="BG116" i="1"/>
  <c r="BI116" i="1"/>
  <c r="BL116" i="1"/>
  <c r="AX117" i="1"/>
  <c r="AY117" i="1"/>
  <c r="AZ117" i="1"/>
  <c r="BA117" i="1"/>
  <c r="BB117" i="1"/>
  <c r="BC117" i="1"/>
  <c r="BD117" i="1"/>
  <c r="BE117" i="1"/>
  <c r="BG117" i="1"/>
  <c r="BI117" i="1"/>
  <c r="BL117" i="1"/>
  <c r="AX144" i="1"/>
  <c r="AY144" i="1"/>
  <c r="AZ144" i="1"/>
  <c r="BA144" i="1"/>
  <c r="BB144" i="1"/>
  <c r="BC144" i="1"/>
  <c r="BD144" i="1"/>
  <c r="BE144" i="1"/>
  <c r="BG144" i="1"/>
  <c r="BI144" i="1"/>
  <c r="BL144" i="1"/>
  <c r="AX101" i="1"/>
  <c r="AY101" i="1"/>
  <c r="AZ101" i="1"/>
  <c r="BA101" i="1"/>
  <c r="BB101" i="1"/>
  <c r="BC101" i="1"/>
  <c r="BD101" i="1"/>
  <c r="BE101" i="1"/>
  <c r="BG101" i="1"/>
  <c r="BI101" i="1"/>
  <c r="BL101" i="1"/>
  <c r="AX162" i="1"/>
  <c r="AY162" i="1"/>
  <c r="AZ162" i="1"/>
  <c r="BA162" i="1"/>
  <c r="BB162" i="1"/>
  <c r="BC162" i="1"/>
  <c r="BD162" i="1"/>
  <c r="BE162" i="1"/>
  <c r="BG162" i="1"/>
  <c r="BI162" i="1"/>
  <c r="BL162" i="1"/>
  <c r="AX133" i="1"/>
  <c r="AY133" i="1"/>
  <c r="AZ133" i="1"/>
  <c r="BB133" i="1"/>
  <c r="BC133" i="1"/>
  <c r="BD133" i="1"/>
  <c r="BE133" i="1"/>
  <c r="BG133" i="1"/>
  <c r="BI133" i="1"/>
  <c r="BL133" i="1"/>
  <c r="AX159" i="1"/>
  <c r="AY159" i="1"/>
  <c r="AZ159" i="1"/>
  <c r="BA159" i="1"/>
  <c r="BB159" i="1"/>
  <c r="BC159" i="1"/>
  <c r="BD159" i="1"/>
  <c r="BE159" i="1"/>
  <c r="BG159" i="1"/>
  <c r="BI159" i="1"/>
  <c r="BL159" i="1"/>
  <c r="AX171" i="1"/>
  <c r="AY171" i="1"/>
  <c r="AZ171" i="1"/>
  <c r="BA171" i="1"/>
  <c r="BB171" i="1"/>
  <c r="BC171" i="1"/>
  <c r="BD171" i="1"/>
  <c r="BE171" i="1"/>
  <c r="BG171" i="1"/>
  <c r="BI171" i="1"/>
  <c r="BL171" i="1"/>
  <c r="AX109" i="1"/>
  <c r="AY109" i="1"/>
  <c r="AZ109" i="1"/>
  <c r="BA109" i="1"/>
  <c r="BB109" i="1"/>
  <c r="BC109" i="1"/>
  <c r="BD109" i="1"/>
  <c r="BE109" i="1"/>
  <c r="BG109" i="1"/>
  <c r="BI109" i="1"/>
  <c r="BL109" i="1"/>
  <c r="AX105" i="1"/>
  <c r="AY105" i="1"/>
  <c r="AZ105" i="1"/>
  <c r="BA105" i="1"/>
  <c r="BB105" i="1"/>
  <c r="BC105" i="1"/>
  <c r="BD105" i="1"/>
  <c r="BE105" i="1"/>
  <c r="BG105" i="1"/>
  <c r="BI105" i="1"/>
  <c r="BL105" i="1"/>
  <c r="AX196" i="1"/>
  <c r="AY196" i="1"/>
  <c r="AZ196" i="1"/>
  <c r="BA196" i="1"/>
  <c r="BB196" i="1"/>
  <c r="BC196" i="1"/>
  <c r="BD196" i="1"/>
  <c r="BE196" i="1"/>
  <c r="BG196" i="1"/>
  <c r="BI196" i="1"/>
  <c r="BL196" i="1"/>
  <c r="AX175" i="1"/>
  <c r="AY175" i="1"/>
  <c r="AZ175" i="1"/>
  <c r="BA175" i="1"/>
  <c r="BB175" i="1"/>
  <c r="BC175" i="1"/>
  <c r="BD175" i="1"/>
  <c r="BE175" i="1"/>
  <c r="BG175" i="1"/>
  <c r="BI175" i="1"/>
  <c r="BL175" i="1"/>
  <c r="AX201" i="1"/>
  <c r="AY201" i="1"/>
  <c r="AZ201" i="1"/>
  <c r="BA201" i="1"/>
  <c r="BB201" i="1"/>
  <c r="BC201" i="1"/>
  <c r="BD201" i="1"/>
  <c r="BE201" i="1"/>
  <c r="BG201" i="1"/>
  <c r="BI201" i="1"/>
  <c r="BL201" i="1"/>
  <c r="AX192" i="1"/>
  <c r="AY192" i="1"/>
  <c r="AZ192" i="1"/>
  <c r="BA192" i="1"/>
  <c r="BB192" i="1"/>
  <c r="BC192" i="1"/>
  <c r="BD192" i="1"/>
  <c r="BE192" i="1"/>
  <c r="BG192" i="1"/>
  <c r="BI192" i="1"/>
  <c r="BL192" i="1"/>
  <c r="AX125" i="1"/>
  <c r="AY125" i="1"/>
  <c r="AZ125" i="1"/>
  <c r="BA125" i="1"/>
  <c r="BB125" i="1"/>
  <c r="BC125" i="1"/>
  <c r="BD125" i="1"/>
  <c r="BE125" i="1"/>
  <c r="BG125" i="1"/>
  <c r="BI125" i="1"/>
  <c r="BL125" i="1"/>
  <c r="AX126" i="1"/>
  <c r="AY126" i="1"/>
  <c r="AZ126" i="1"/>
  <c r="BA126" i="1"/>
  <c r="BB126" i="1"/>
  <c r="BC126" i="1"/>
  <c r="BD126" i="1"/>
  <c r="BE126" i="1"/>
  <c r="BG126" i="1"/>
  <c r="BI126" i="1"/>
  <c r="BL126" i="1"/>
  <c r="AX131" i="1"/>
  <c r="AY131" i="1"/>
  <c r="AZ131" i="1"/>
  <c r="BA131" i="1"/>
  <c r="BB131" i="1"/>
  <c r="BC131" i="1"/>
  <c r="BD131" i="1"/>
  <c r="BE131" i="1"/>
  <c r="BG131" i="1"/>
  <c r="BI131" i="1"/>
  <c r="BL131" i="1"/>
  <c r="AX103" i="1"/>
  <c r="AY103" i="1"/>
  <c r="AZ103" i="1"/>
  <c r="BA103" i="1"/>
  <c r="BB103" i="1"/>
  <c r="BC103" i="1"/>
  <c r="BD103" i="1"/>
  <c r="BE103" i="1"/>
  <c r="BG103" i="1"/>
  <c r="BI103" i="1"/>
  <c r="BL103" i="1"/>
  <c r="AX177" i="1"/>
  <c r="AY177" i="1"/>
  <c r="AZ177" i="1"/>
  <c r="BA177" i="1"/>
  <c r="BB177" i="1"/>
  <c r="BC177" i="1"/>
  <c r="BD177" i="1"/>
  <c r="BE177" i="1"/>
  <c r="BG177" i="1"/>
  <c r="BI177" i="1"/>
  <c r="BL177" i="1"/>
  <c r="AX160" i="1"/>
  <c r="AY160" i="1"/>
  <c r="AZ160" i="1"/>
  <c r="BA160" i="1"/>
  <c r="BB160" i="1"/>
  <c r="BC160" i="1"/>
  <c r="BD160" i="1"/>
  <c r="BE160" i="1"/>
  <c r="BG160" i="1"/>
  <c r="BI160" i="1"/>
  <c r="BL160" i="1"/>
  <c r="AX168" i="1"/>
  <c r="AY168" i="1"/>
  <c r="AZ168" i="1"/>
  <c r="BA168" i="1"/>
  <c r="BB168" i="1"/>
  <c r="BC168" i="1"/>
  <c r="BD168" i="1"/>
  <c r="BE168" i="1"/>
  <c r="BG168" i="1"/>
  <c r="BI168" i="1"/>
  <c r="BL168" i="1"/>
  <c r="AX169" i="1"/>
  <c r="AY169" i="1"/>
  <c r="AZ169" i="1"/>
  <c r="BA169" i="1"/>
  <c r="BB169" i="1"/>
  <c r="BC169" i="1"/>
  <c r="BD169" i="1"/>
  <c r="BE169" i="1"/>
  <c r="BG169" i="1"/>
  <c r="BI169" i="1"/>
  <c r="BL169" i="1"/>
  <c r="AX111" i="1"/>
  <c r="AY111" i="1"/>
  <c r="AZ111" i="1"/>
  <c r="BA111" i="1"/>
  <c r="BB111" i="1"/>
  <c r="BC111" i="1"/>
  <c r="BD111" i="1"/>
  <c r="BE111" i="1"/>
  <c r="BG111" i="1"/>
  <c r="BI111" i="1"/>
  <c r="BL111" i="1"/>
  <c r="BO199" i="1" l="1"/>
  <c r="BQ199" i="1" s="1"/>
  <c r="BO145" i="1"/>
  <c r="BQ145" i="1" s="1"/>
  <c r="BO103" i="1"/>
  <c r="BQ103" i="1" s="1"/>
  <c r="BO134" i="1"/>
  <c r="BQ134" i="1" s="1"/>
  <c r="BO94" i="1"/>
  <c r="BQ94" i="1" s="1"/>
  <c r="BO186" i="1"/>
  <c r="BQ186" i="1" s="1"/>
  <c r="BO27" i="1"/>
  <c r="BQ27" i="1" s="1"/>
  <c r="BO117" i="1"/>
  <c r="BQ117" i="1" s="1"/>
  <c r="BO123" i="1"/>
  <c r="BQ123" i="1" s="1"/>
  <c r="BO106" i="1"/>
  <c r="BQ106" i="1" s="1"/>
  <c r="BO120" i="1"/>
  <c r="BQ120" i="1" s="1"/>
  <c r="BO165" i="1"/>
  <c r="BQ165" i="1" s="1"/>
  <c r="BO23" i="1"/>
  <c r="BQ23" i="1" s="1"/>
  <c r="BO61" i="1"/>
  <c r="BQ61" i="1" s="1"/>
  <c r="BO105" i="1"/>
  <c r="BQ105" i="1" s="1"/>
  <c r="BO161" i="1"/>
  <c r="BQ161" i="1" s="1"/>
  <c r="BO102" i="1"/>
  <c r="BQ102" i="1" s="1"/>
  <c r="BO11" i="1"/>
  <c r="BQ11" i="1" s="1"/>
  <c r="BO46" i="1"/>
  <c r="BQ46" i="1" s="1"/>
  <c r="BO10" i="1"/>
  <c r="BQ10" i="1" s="1"/>
  <c r="BO169" i="1"/>
  <c r="BQ169" i="1" s="1"/>
  <c r="BO133" i="1"/>
  <c r="BQ133" i="1" s="1"/>
  <c r="BO157" i="1"/>
  <c r="BQ157" i="1" s="1"/>
  <c r="BO189" i="1"/>
  <c r="BQ189" i="1" s="1"/>
  <c r="BO187" i="1"/>
  <c r="BQ187" i="1" s="1"/>
  <c r="BO47" i="1"/>
  <c r="BQ47" i="1" s="1"/>
  <c r="BO24" i="1"/>
  <c r="BQ24" i="1" s="1"/>
  <c r="BO13" i="1"/>
  <c r="BQ13" i="1" s="1"/>
  <c r="BO192" i="1"/>
  <c r="BQ192" i="1" s="1"/>
  <c r="BO179" i="1"/>
  <c r="BQ179" i="1" s="1"/>
  <c r="BO60" i="1"/>
  <c r="BQ60" i="1" s="1"/>
  <c r="BO100" i="1"/>
  <c r="BQ100" i="1" s="1"/>
  <c r="BO172" i="1"/>
  <c r="BQ172" i="1" s="1"/>
  <c r="BO49" i="1"/>
  <c r="BQ49" i="1" s="1"/>
  <c r="BO33" i="1"/>
  <c r="BQ33" i="1" s="1"/>
  <c r="BO43" i="1"/>
  <c r="BQ43" i="1" s="1"/>
  <c r="BO160" i="1"/>
  <c r="BQ160" i="1" s="1"/>
  <c r="BO175" i="1"/>
  <c r="BQ175" i="1" s="1"/>
  <c r="BO101" i="1"/>
  <c r="BQ101" i="1" s="1"/>
  <c r="BO195" i="1"/>
  <c r="BQ195" i="1" s="1"/>
  <c r="BO82" i="1"/>
  <c r="BQ82" i="1" s="1"/>
  <c r="BO126" i="1"/>
  <c r="BQ126" i="1" s="1"/>
  <c r="BO171" i="1"/>
  <c r="BQ171" i="1" s="1"/>
  <c r="BO122" i="1"/>
  <c r="BQ122" i="1" s="1"/>
  <c r="BO111" i="1"/>
  <c r="BQ111" i="1" s="1"/>
  <c r="BO177" i="1"/>
  <c r="BQ177" i="1" s="1"/>
  <c r="BO125" i="1"/>
  <c r="BQ125" i="1" s="1"/>
  <c r="BO196" i="1"/>
  <c r="BQ196" i="1" s="1"/>
  <c r="BO159" i="1"/>
  <c r="BQ159" i="1" s="1"/>
  <c r="BO144" i="1"/>
  <c r="BQ144" i="1" s="1"/>
  <c r="BO138" i="1"/>
  <c r="BQ138" i="1" s="1"/>
  <c r="BO124" i="1"/>
  <c r="BQ124" i="1" s="1"/>
  <c r="BO151" i="1"/>
  <c r="BQ151" i="1" s="1"/>
  <c r="BO167" i="1"/>
  <c r="BQ167" i="1" s="1"/>
  <c r="BO182" i="1"/>
  <c r="BQ182" i="1" s="1"/>
  <c r="BO112" i="1"/>
  <c r="BQ112" i="1" s="1"/>
  <c r="BO193" i="1"/>
  <c r="BQ193" i="1" s="1"/>
  <c r="BO183" i="1"/>
  <c r="BQ183" i="1" s="1"/>
  <c r="BO181" i="1"/>
  <c r="BQ181" i="1" s="1"/>
  <c r="BO121" i="1"/>
  <c r="BQ121" i="1" s="1"/>
  <c r="BO118" i="1"/>
  <c r="BQ118" i="1" s="1"/>
  <c r="BO154" i="1"/>
  <c r="BQ154" i="1" s="1"/>
  <c r="BO143" i="1"/>
  <c r="BQ143" i="1" s="1"/>
  <c r="BO163" i="1"/>
  <c r="BQ163" i="1" s="1"/>
  <c r="BO198" i="1"/>
  <c r="BQ198" i="1" s="1"/>
  <c r="BO67" i="1"/>
  <c r="BQ67" i="1" s="1"/>
  <c r="BO20" i="1"/>
  <c r="BQ20" i="1" s="1"/>
  <c r="BO95" i="1"/>
  <c r="BQ95" i="1" s="1"/>
  <c r="BO194" i="1"/>
  <c r="BQ194" i="1" s="1"/>
  <c r="BO164" i="1"/>
  <c r="BQ164" i="1" s="1"/>
  <c r="BO147" i="1"/>
  <c r="BQ147" i="1" s="1"/>
  <c r="BO72" i="1"/>
  <c r="BQ72" i="1" s="1"/>
  <c r="BO30" i="1"/>
  <c r="BQ30" i="1" s="1"/>
  <c r="BO83" i="1"/>
  <c r="BQ83" i="1" s="1"/>
  <c r="BO22" i="1"/>
  <c r="BQ22" i="1" s="1"/>
  <c r="BO58" i="1"/>
  <c r="BQ58" i="1" s="1"/>
  <c r="BO150" i="1"/>
  <c r="BQ150" i="1" s="1"/>
  <c r="BO35" i="1"/>
  <c r="BQ35" i="1" s="1"/>
  <c r="BO74" i="1"/>
  <c r="BQ74" i="1" s="1"/>
  <c r="BO19" i="1"/>
  <c r="BQ19" i="1" s="1"/>
  <c r="BO119" i="1"/>
  <c r="BQ119" i="1" s="1"/>
  <c r="BO168" i="1"/>
  <c r="BQ168" i="1" s="1"/>
  <c r="BO131" i="1"/>
  <c r="BQ131" i="1" s="1"/>
  <c r="BO201" i="1"/>
  <c r="BQ201" i="1" s="1"/>
  <c r="BO109" i="1"/>
  <c r="BQ109" i="1" s="1"/>
  <c r="BO162" i="1"/>
  <c r="BQ162" i="1" s="1"/>
  <c r="BO116" i="1"/>
  <c r="BQ116" i="1" s="1"/>
  <c r="BO141" i="1"/>
  <c r="BQ141" i="1" s="1"/>
  <c r="BO142" i="1"/>
  <c r="BQ142" i="1" s="1"/>
  <c r="BO130" i="1"/>
  <c r="BQ130" i="1" s="1"/>
  <c r="BO107" i="1"/>
  <c r="BQ107" i="1" s="1"/>
  <c r="BO178" i="1"/>
  <c r="BQ178" i="1" s="1"/>
  <c r="BO156" i="1"/>
  <c r="BQ156" i="1" s="1"/>
  <c r="BO148" i="1"/>
  <c r="BQ148" i="1" s="1"/>
  <c r="BO139" i="1"/>
  <c r="BQ139" i="1" s="1"/>
  <c r="BO136" i="1"/>
  <c r="BQ136" i="1" s="1"/>
  <c r="BO110" i="1"/>
  <c r="BQ110" i="1" s="1"/>
  <c r="BO180" i="1"/>
  <c r="BQ180" i="1" s="1"/>
  <c r="BO190" i="1"/>
  <c r="BQ190" i="1" s="1"/>
  <c r="BO152" i="1"/>
  <c r="BQ152" i="1" s="1"/>
  <c r="BO158" i="1"/>
  <c r="BQ158" i="1" s="1"/>
  <c r="BO184" i="1"/>
  <c r="BQ184" i="1" s="1"/>
  <c r="BO155" i="1"/>
  <c r="BQ155" i="1" s="1"/>
  <c r="BO66" i="1"/>
  <c r="BQ66" i="1" s="1"/>
  <c r="BO21" i="1"/>
  <c r="BQ21" i="1" s="1"/>
  <c r="BO17" i="1"/>
  <c r="BQ17" i="1" s="1"/>
  <c r="BO91" i="1"/>
  <c r="BQ91" i="1" s="1"/>
  <c r="BO50" i="1"/>
  <c r="BQ50" i="1" s="1"/>
  <c r="BO51" i="1"/>
  <c r="BQ51" i="1" s="1"/>
  <c r="BO71" i="1"/>
  <c r="BQ71" i="1" s="1"/>
  <c r="BO59" i="1"/>
  <c r="BQ59" i="1" s="1"/>
  <c r="BO32" i="1"/>
  <c r="BQ32" i="1" s="1"/>
  <c r="BO34" i="1"/>
  <c r="BQ34" i="1" s="1"/>
  <c r="BO78" i="1"/>
  <c r="BQ78" i="1" s="1"/>
  <c r="BO45" i="1"/>
  <c r="BQ45" i="1" s="1"/>
  <c r="BO68" i="1"/>
  <c r="BQ68" i="1" s="1"/>
  <c r="BO39" i="1"/>
  <c r="BQ39" i="1" s="1"/>
  <c r="BO85" i="1"/>
  <c r="BQ85" i="1" s="1"/>
  <c r="BO73" i="1"/>
  <c r="BQ73" i="1" s="1"/>
  <c r="BO132" i="1"/>
  <c r="BQ132" i="1" s="1"/>
  <c r="BO200" i="1"/>
  <c r="BQ200" i="1" s="1"/>
  <c r="BO191" i="1"/>
  <c r="BQ191" i="1" s="1"/>
  <c r="BO114" i="1"/>
  <c r="BQ114" i="1" s="1"/>
  <c r="BO146" i="1"/>
  <c r="BQ146" i="1" s="1"/>
  <c r="BO108" i="1"/>
  <c r="BQ108" i="1" s="1"/>
  <c r="BO173" i="1"/>
  <c r="BQ173" i="1" s="1"/>
  <c r="BO153" i="1"/>
  <c r="BQ153" i="1" s="1"/>
  <c r="BO149" i="1"/>
  <c r="BQ149" i="1" s="1"/>
  <c r="BO113" i="1"/>
  <c r="BQ113" i="1" s="1"/>
  <c r="BO115" i="1"/>
  <c r="BQ115" i="1" s="1"/>
  <c r="BO127" i="1"/>
  <c r="BQ127" i="1" s="1"/>
  <c r="BO185" i="1"/>
  <c r="BQ185" i="1" s="1"/>
  <c r="BO129" i="1"/>
  <c r="BQ129" i="1" s="1"/>
  <c r="BO188" i="1"/>
  <c r="BQ188" i="1" s="1"/>
  <c r="BO48" i="1"/>
  <c r="BQ48" i="1" s="1"/>
  <c r="BO63" i="1"/>
  <c r="BQ63" i="1" s="1"/>
  <c r="BO99" i="1"/>
  <c r="BQ99" i="1" s="1"/>
  <c r="BO75" i="1"/>
  <c r="BQ75" i="1" s="1"/>
  <c r="BO28" i="1"/>
  <c r="BQ28" i="1" s="1"/>
  <c r="BO140" i="1"/>
  <c r="BQ140" i="1" s="1"/>
  <c r="BO174" i="1"/>
  <c r="BQ174" i="1" s="1"/>
  <c r="BO29" i="1"/>
  <c r="BQ29" i="1" s="1"/>
  <c r="BO62" i="1"/>
  <c r="BQ62" i="1" s="1"/>
  <c r="BO54" i="1"/>
  <c r="BQ54" i="1" s="1"/>
  <c r="BO92" i="1"/>
  <c r="BQ92" i="1" s="1"/>
  <c r="BO26" i="1"/>
  <c r="BQ26" i="1" s="1"/>
  <c r="BO14" i="1"/>
  <c r="BQ14" i="1" s="1"/>
  <c r="BO80" i="1"/>
  <c r="BQ80" i="1" s="1"/>
  <c r="BO36" i="1"/>
  <c r="BQ36" i="1" s="1"/>
  <c r="BO16" i="1"/>
  <c r="BQ16" i="1" s="1"/>
  <c r="BO86" i="1"/>
  <c r="BQ86" i="1" s="1"/>
  <c r="BO53" i="1"/>
  <c r="BQ53" i="1" s="1"/>
  <c r="BO56" i="1"/>
  <c r="BQ56" i="1" s="1"/>
  <c r="BO176" i="1"/>
  <c r="BQ176" i="1" s="1"/>
  <c r="BO98" i="1"/>
  <c r="BQ98" i="1" s="1"/>
  <c r="K81" i="1" l="1"/>
  <c r="AX81" i="1"/>
  <c r="AY81" i="1"/>
  <c r="AZ81" i="1"/>
  <c r="BA81" i="1"/>
  <c r="BB81" i="1"/>
  <c r="BC81" i="1"/>
  <c r="BD81" i="1"/>
  <c r="BE81" i="1"/>
  <c r="BG81" i="1"/>
  <c r="BI81" i="1"/>
  <c r="BL81" i="1"/>
  <c r="E81" i="1"/>
  <c r="M81" i="1" l="1"/>
  <c r="BO81" i="1"/>
  <c r="BQ81" i="1" s="1"/>
  <c r="BE202" i="1"/>
  <c r="BE203" i="1" s="1"/>
  <c r="AY202" i="1"/>
  <c r="AY203" i="1" s="1"/>
  <c r="BC202" i="1" l="1"/>
  <c r="BC203" i="1" s="1"/>
  <c r="BB202" i="1"/>
  <c r="BB203" i="1" s="1"/>
  <c r="BA202" i="1"/>
  <c r="BA203" i="1" s="1"/>
  <c r="L202" i="1" l="1"/>
  <c r="J202" i="1"/>
  <c r="I202" i="1"/>
  <c r="S202" i="1"/>
  <c r="S203" i="1" s="1"/>
  <c r="L203" i="1" l="1"/>
  <c r="P202" i="1"/>
  <c r="D12" i="4"/>
  <c r="I203" i="1"/>
  <c r="D14" i="4"/>
  <c r="J203" i="1"/>
  <c r="B3" i="4"/>
  <c r="D3" i="4" s="1"/>
  <c r="BG202" i="1"/>
  <c r="BG203" i="1" s="1"/>
  <c r="AZ202" i="1"/>
  <c r="AZ203" i="1" s="1"/>
  <c r="BH202" i="1"/>
  <c r="BH203" i="1" s="1"/>
  <c r="BL202" i="1"/>
  <c r="BL203" i="1" s="1"/>
  <c r="BD202" i="1"/>
  <c r="BD203" i="1" s="1"/>
  <c r="R202" i="1"/>
  <c r="F202" i="1"/>
  <c r="F203" i="1" s="1"/>
  <c r="M202" i="1"/>
  <c r="M203" i="1" s="1"/>
  <c r="AX208" i="1" l="1"/>
  <c r="L1" i="1"/>
  <c r="B2" i="4"/>
  <c r="D2" i="4" s="1"/>
  <c r="K202" i="1"/>
  <c r="K203" i="1" s="1"/>
  <c r="AX202" i="1"/>
  <c r="AX203" i="1" l="1"/>
  <c r="X202" i="1"/>
  <c r="AL202" i="1"/>
  <c r="AS202" i="1"/>
  <c r="AO202" i="1"/>
  <c r="AK202" i="1"/>
  <c r="AG202" i="1"/>
  <c r="AC202" i="1"/>
  <c r="AP202" i="1"/>
  <c r="AD202" i="1"/>
  <c r="AV202" i="1"/>
  <c r="AN202" i="1"/>
  <c r="AJ202" i="1"/>
  <c r="AF202" i="1"/>
  <c r="AT202" i="1"/>
  <c r="AH202" i="1"/>
  <c r="AR202" i="1"/>
  <c r="AU202" i="1"/>
  <c r="AQ202" i="1"/>
  <c r="AM202" i="1"/>
  <c r="AI202" i="1"/>
  <c r="AE202" i="1"/>
  <c r="T202" i="1"/>
  <c r="AW202" i="1"/>
  <c r="AU203" i="1" l="1"/>
  <c r="X203" i="1"/>
  <c r="B4" i="4"/>
  <c r="D4" i="4" l="1"/>
  <c r="Y202" i="1" l="1"/>
  <c r="Z202" i="1"/>
  <c r="B6" i="4" s="1"/>
  <c r="D6" i="4" s="1"/>
  <c r="W202" i="1"/>
  <c r="AB202" i="1"/>
  <c r="B8" i="4" s="1"/>
  <c r="D8" i="4" s="1"/>
  <c r="AA202" i="1"/>
  <c r="B7" i="4" s="1"/>
  <c r="D7" i="4" s="1"/>
  <c r="V202" i="1"/>
  <c r="AX207" i="1"/>
  <c r="AO209" i="1" l="1"/>
  <c r="AO210" i="1"/>
  <c r="AW206" i="1"/>
  <c r="AO211" i="1"/>
  <c r="Z203" i="1"/>
  <c r="W203" i="1"/>
  <c r="Y203" i="1"/>
  <c r="AX205" i="1"/>
  <c r="B5" i="4"/>
  <c r="D5" i="4" s="1"/>
  <c r="AX206" i="1"/>
  <c r="AX209" i="1" s="1"/>
  <c r="D10" i="4" l="1"/>
  <c r="D15" i="4" s="1"/>
  <c r="B10" i="4"/>
  <c r="AW205" i="1" l="1"/>
  <c r="AW207" i="1" s="1"/>
  <c r="AA203" i="1"/>
  <c r="AB203" i="1"/>
  <c r="V203" i="1"/>
  <c r="AK203" i="1"/>
  <c r="T203" i="1"/>
  <c r="AR203" i="1"/>
  <c r="AP203" i="1"/>
  <c r="AH203" i="1"/>
  <c r="AS203" i="1"/>
  <c r="AQ203" i="1"/>
  <c r="AO203" i="1"/>
  <c r="AG203" i="1"/>
  <c r="AJ203" i="1"/>
  <c r="AW203" i="1"/>
  <c r="AV203" i="1"/>
  <c r="AN203" i="1"/>
  <c r="AF203" i="1"/>
  <c r="AM203" i="1"/>
  <c r="AE203" i="1"/>
  <c r="AC203" i="1"/>
  <c r="AI203" i="1"/>
  <c r="AT203" i="1"/>
  <c r="AL203" i="1"/>
  <c r="AD203" i="1"/>
  <c r="C202" i="1"/>
  <c r="C203" i="1" s="1"/>
  <c r="E202" i="1"/>
  <c r="E203" i="1" s="1"/>
  <c r="E204" i="1" s="1"/>
  <c r="BI202" i="1"/>
  <c r="BI203" i="1" s="1"/>
  <c r="BF202" i="1"/>
  <c r="BF203" i="1" s="1"/>
  <c r="BM202" i="1" l="1"/>
  <c r="AO212" i="1"/>
  <c r="R203" i="1" l="1"/>
</calcChain>
</file>

<file path=xl/sharedStrings.xml><?xml version="1.0" encoding="utf-8"?>
<sst xmlns="http://schemas.openxmlformats.org/spreadsheetml/2006/main" count="1185" uniqueCount="582">
  <si>
    <t>Name</t>
  </si>
  <si>
    <t>Email</t>
  </si>
  <si>
    <t>Fee</t>
  </si>
  <si>
    <t>Donation</t>
  </si>
  <si>
    <t>Clean Date</t>
  </si>
  <si>
    <t>Days</t>
  </si>
  <si>
    <t>Committee</t>
  </si>
  <si>
    <t>Camp Elec</t>
  </si>
  <si>
    <t>Day Pass</t>
  </si>
  <si>
    <t>Delhut</t>
  </si>
  <si>
    <t>Radison</t>
  </si>
  <si>
    <t>Alneau</t>
  </si>
  <si>
    <t>Baraga</t>
  </si>
  <si>
    <t>Jolliet</t>
  </si>
  <si>
    <t>Birch</t>
  </si>
  <si>
    <t>White Pine</t>
  </si>
  <si>
    <t>Maple</t>
  </si>
  <si>
    <t>Aspen</t>
  </si>
  <si>
    <t>Knife</t>
  </si>
  <si>
    <t>Crooked Lake</t>
  </si>
  <si>
    <t>Bakk</t>
  </si>
  <si>
    <t>Priest</t>
  </si>
  <si>
    <t>Discount Amount</t>
  </si>
  <si>
    <t xml:space="preserve">Enter only one person (adult or child) on a row. </t>
  </si>
  <si>
    <t>ONLY enter the number "1" in one column (Q thru AO) per row</t>
  </si>
  <si>
    <t>Adult Full Price:</t>
  </si>
  <si>
    <t>TOTALS</t>
  </si>
  <si>
    <t>Newcomer</t>
  </si>
  <si>
    <t>Other</t>
  </si>
  <si>
    <t>GRAND TOTAL REGISTERED PEOPLE + KIDS:</t>
  </si>
  <si>
    <t>DISCOUNT REASON COUNT</t>
  </si>
  <si>
    <t>Descriptions list on Sheet 2 (Drop Down)</t>
  </si>
  <si>
    <t>Miles
(one-way)</t>
  </si>
  <si>
    <t>Camp</t>
  </si>
  <si>
    <t>Total Due</t>
  </si>
  <si>
    <t>Total Pd</t>
  </si>
  <si>
    <t>Unpaid Bal</t>
  </si>
  <si>
    <t xml:space="preserve"> </t>
  </si>
  <si>
    <t>Addict</t>
  </si>
  <si>
    <t>Non-Addict</t>
  </si>
  <si>
    <t>Total Days:</t>
  </si>
  <si>
    <t>Total Years:</t>
  </si>
  <si>
    <t>Free Reg Certificate</t>
  </si>
  <si>
    <t>Receipt #</t>
  </si>
  <si>
    <t>Date</t>
  </si>
  <si>
    <t>Time</t>
  </si>
  <si>
    <t>Amount</t>
  </si>
  <si>
    <t>Deposit</t>
  </si>
  <si>
    <t>Use Formula:</t>
  </si>
  <si>
    <t>To unprotect sheet: Format/Protection/PW = NA</t>
  </si>
  <si>
    <t>Total entered in day pass, cabins, camping:</t>
  </si>
  <si>
    <t>Difference:</t>
  </si>
  <si>
    <t>Row #</t>
  </si>
  <si>
    <t>Hopkins</t>
  </si>
  <si>
    <t>Schoolcraft</t>
  </si>
  <si>
    <t>Enter Saturday's Date in cell D3</t>
  </si>
  <si>
    <t>Cabins</t>
  </si>
  <si>
    <t>Camping Electric</t>
  </si>
  <si>
    <t>Friday Tent Count</t>
  </si>
  <si>
    <t>Satruday Tent Count</t>
  </si>
  <si>
    <t>Pay Camp Numbers</t>
  </si>
  <si>
    <t>Total</t>
  </si>
  <si>
    <t>@Sum(Orow:Orow)  or  @Sum(Orow:Orow)+Orow+Orow</t>
  </si>
  <si>
    <t>Day Passes</t>
  </si>
  <si>
    <t>MPLS, MN</t>
  </si>
  <si>
    <t xml:space="preserve">Fargo, ND </t>
  </si>
  <si>
    <t xml:space="preserve">Duluth, MN </t>
  </si>
  <si>
    <t>Virginia, MN</t>
  </si>
  <si>
    <t>Hibbing, MN</t>
  </si>
  <si>
    <t>Location</t>
  </si>
  <si>
    <t>Miles</t>
  </si>
  <si>
    <t>Cloquet, MN</t>
  </si>
  <si>
    <t>Two Harbors, MN</t>
  </si>
  <si>
    <t>St Cloud, MN</t>
  </si>
  <si>
    <t>Brainerd, MN</t>
  </si>
  <si>
    <t>Detroit Lakes, MN</t>
  </si>
  <si>
    <t>Rochester, MN</t>
  </si>
  <si>
    <t>Sioux Falls, SD</t>
  </si>
  <si>
    <t>Thunder Bay, ON</t>
  </si>
  <si>
    <t>Winnipeg, MB</t>
  </si>
  <si>
    <t>Grand Forks, ND</t>
  </si>
  <si>
    <t>Bismarck, ND</t>
  </si>
  <si>
    <t>Mankato, MN</t>
  </si>
  <si>
    <t>Ashland, WI</t>
  </si>
  <si>
    <t>Superior, WI</t>
  </si>
  <si>
    <t>St Paul, MN</t>
  </si>
  <si>
    <t>Int'l Falls, MN</t>
  </si>
  <si>
    <t>Bemidji, MN</t>
  </si>
  <si>
    <t>Grand 1</t>
  </si>
  <si>
    <t>Grand 2</t>
  </si>
  <si>
    <t>Grand ADA</t>
  </si>
  <si>
    <t>Grand Large</t>
  </si>
  <si>
    <t>Camp Firepit</t>
  </si>
  <si>
    <t>90 Days or Less</t>
  </si>
  <si>
    <t>Hardship</t>
  </si>
  <si>
    <t>Youth 4-11</t>
  </si>
  <si>
    <t>Youth 0-3</t>
  </si>
  <si>
    <t>Youth 12-15</t>
  </si>
  <si>
    <t>Hard-ship</t>
  </si>
  <si>
    <t>Free Reg Cert</t>
  </si>
  <si>
    <t>Discount Reasons</t>
  </si>
  <si>
    <t>Meeting Sponsored</t>
  </si>
  <si>
    <t>Mtg Paid</t>
  </si>
  <si>
    <t>Grand Hall</t>
  </si>
  <si>
    <t>Enter the number of beds available in each cabin on row 308</t>
  </si>
  <si>
    <t>Committee Enter this in Discount:</t>
  </si>
  <si>
    <t>Newcomer Enter this in Discount:</t>
  </si>
  <si>
    <t>Youth 12-15 Enter this in Discount:</t>
  </si>
  <si>
    <t>X</t>
  </si>
  <si>
    <t>Type</t>
  </si>
  <si>
    <t>Qty</t>
  </si>
  <si>
    <t>Price</t>
  </si>
  <si>
    <t>Subtotal</t>
  </si>
  <si>
    <t>Discount</t>
  </si>
  <si>
    <t>Grand Total</t>
  </si>
  <si>
    <t>Cabin</t>
  </si>
  <si>
    <t>Total Registrated</t>
  </si>
  <si>
    <t>ONLINE</t>
  </si>
  <si>
    <t>GRAND TOTAL REGISTERED ADDICTS LESS KIDS:</t>
  </si>
  <si>
    <t>Youth 4-11 Enter this in Discount:</t>
  </si>
  <si>
    <t>Youth 0-3 Enter this in Discount:</t>
  </si>
  <si>
    <t>Friday</t>
  </si>
  <si>
    <t>Saturday</t>
  </si>
  <si>
    <t>Questions</t>
  </si>
  <si>
    <t>Map No.</t>
  </si>
  <si>
    <t>Field</t>
  </si>
  <si>
    <t>13</t>
  </si>
  <si>
    <t>Current Beds</t>
  </si>
  <si>
    <t>Past Beds</t>
  </si>
  <si>
    <t>Notes of Damage</t>
  </si>
  <si>
    <t>Registratin Sign Up</t>
  </si>
  <si>
    <t>Tree Firepit</t>
  </si>
  <si>
    <t>Rainy Lake (Ramp)</t>
  </si>
  <si>
    <t>Namakan</t>
  </si>
  <si>
    <t>Sandpoint</t>
  </si>
  <si>
    <t>Lac LaCroix</t>
  </si>
  <si>
    <t>Basswood</t>
  </si>
  <si>
    <t>Thompson</t>
  </si>
  <si>
    <t>Marquette</t>
  </si>
  <si>
    <t>Sakagawea</t>
  </si>
  <si>
    <t>Mackenzie</t>
  </si>
  <si>
    <t xml:space="preserve">Group Together </t>
  </si>
  <si>
    <t>Make Sure to SAVE After Each Person</t>
  </si>
  <si>
    <t>17</t>
  </si>
  <si>
    <t>18</t>
  </si>
  <si>
    <t>Filled Beds (Not tents)</t>
  </si>
  <si>
    <t>Total People</t>
  </si>
  <si>
    <t>If Column is a "2" Everything is correct.</t>
  </si>
  <si>
    <t>Friday Dinner</t>
  </si>
  <si>
    <t>Saturday Breakfast</t>
  </si>
  <si>
    <t>Saturday Dinner</t>
  </si>
  <si>
    <t>Sunday Breakfast</t>
  </si>
  <si>
    <t>Saturday Lunch</t>
  </si>
  <si>
    <t>Youth Discount Amount</t>
  </si>
  <si>
    <t>Youth Discount</t>
  </si>
  <si>
    <t>Income</t>
  </si>
  <si>
    <t>Addicts</t>
  </si>
  <si>
    <t>Newcomers</t>
  </si>
  <si>
    <t>Years Clean</t>
  </si>
  <si>
    <t>Mileage Traveled</t>
  </si>
  <si>
    <t>Running Total</t>
  </si>
  <si>
    <t>Expenses</t>
  </si>
  <si>
    <t>Description</t>
  </si>
  <si>
    <t>Printing</t>
  </si>
  <si>
    <t>Camp Invoice</t>
  </si>
  <si>
    <t>Rental</t>
  </si>
  <si>
    <t>Summary</t>
  </si>
  <si>
    <t>Revenue</t>
  </si>
  <si>
    <t>Fees</t>
  </si>
  <si>
    <t>Registration Hours</t>
  </si>
  <si>
    <t>12:00 PM to 5:00 PM</t>
  </si>
  <si>
    <t>Refund</t>
  </si>
  <si>
    <t>Treatment</t>
  </si>
  <si>
    <t>9PM</t>
  </si>
  <si>
    <t>205</t>
  </si>
  <si>
    <t>64</t>
  </si>
  <si>
    <t>1067</t>
  </si>
  <si>
    <t>2019 Bed Count and Note of Damages</t>
  </si>
  <si>
    <t>Lake Michigan</t>
  </si>
  <si>
    <t>Lake Huron</t>
  </si>
  <si>
    <t>Lake Erie ADA</t>
  </si>
  <si>
    <t>Lake Ontario</t>
  </si>
  <si>
    <t>Who</t>
  </si>
  <si>
    <t>Online Sales</t>
  </si>
  <si>
    <t>Online Fees</t>
  </si>
  <si>
    <t>Friday Square</t>
  </si>
  <si>
    <t>Fri Squ Fee</t>
  </si>
  <si>
    <t>Sat Sun Square</t>
  </si>
  <si>
    <t>Sat Sun Squ Fee</t>
  </si>
  <si>
    <t>Total Fees</t>
  </si>
  <si>
    <t>Total Newcomer Expense</t>
  </si>
  <si>
    <t>Total Programming Expense</t>
  </si>
  <si>
    <t>Registration Chair Only</t>
  </si>
  <si>
    <t>Total Registration Inc</t>
  </si>
  <si>
    <t>Total Kitchen Expense</t>
  </si>
  <si>
    <t>$1,000-$216 Food Returned</t>
  </si>
  <si>
    <t>Total Camp Fees</t>
  </si>
  <si>
    <t>Total Registration Expense</t>
  </si>
  <si>
    <t>Going Early</t>
  </si>
  <si>
    <t>If Clean Date is blank, they are not here, if youth or nonaddict enter "0"</t>
  </si>
  <si>
    <t>People in Tents Including Electric</t>
  </si>
  <si>
    <t>Voyageurs</t>
  </si>
  <si>
    <t>Revenue Per Deposits</t>
  </si>
  <si>
    <t>3 Voyageurs @ $70</t>
  </si>
  <si>
    <t>Saturday Tent Count</t>
  </si>
  <si>
    <t>Shandelle Friedman</t>
  </si>
  <si>
    <t>shandellefriedman@gmail.com</t>
  </si>
  <si>
    <t>Caitlin Milligan</t>
  </si>
  <si>
    <t>cait679@gmail.com</t>
  </si>
  <si>
    <t>6:00 PM to 9:00 PM</t>
  </si>
  <si>
    <t>9:00 AM to 2:00 PM</t>
  </si>
  <si>
    <t>For Questions Please Find or Text
Shandelle 218-499-1510 or Caitlin 218-390-9747</t>
  </si>
  <si>
    <t>Voy</t>
  </si>
  <si>
    <t>7A</t>
  </si>
  <si>
    <t>7B</t>
  </si>
  <si>
    <t>7C</t>
  </si>
  <si>
    <t>7D</t>
  </si>
  <si>
    <t>7E</t>
  </si>
  <si>
    <t>7F</t>
  </si>
  <si>
    <t>8A</t>
  </si>
  <si>
    <t>8B</t>
  </si>
  <si>
    <t>8C</t>
  </si>
  <si>
    <t>8D</t>
  </si>
  <si>
    <t>8E</t>
  </si>
  <si>
    <t>8F</t>
  </si>
  <si>
    <t>8G</t>
  </si>
  <si>
    <t>9A</t>
  </si>
  <si>
    <t>9B</t>
  </si>
  <si>
    <t>9C</t>
  </si>
  <si>
    <t>9D</t>
  </si>
  <si>
    <t>15A</t>
  </si>
  <si>
    <t>15B</t>
  </si>
  <si>
    <t>15C</t>
  </si>
  <si>
    <t>15D</t>
  </si>
  <si>
    <t>4A</t>
  </si>
  <si>
    <t>4B</t>
  </si>
  <si>
    <t>4C</t>
  </si>
  <si>
    <t>4D</t>
  </si>
  <si>
    <t>Paul Wiemer</t>
  </si>
  <si>
    <t>paulw@brainerd.net</t>
  </si>
  <si>
    <t>Marvella Davis</t>
  </si>
  <si>
    <t>marvella.davis@yahoo.com</t>
  </si>
  <si>
    <t>Joshua Herplinck</t>
  </si>
  <si>
    <t>jjherplinck@gmail.com</t>
  </si>
  <si>
    <t>Cortez Riley</t>
  </si>
  <si>
    <t>riley168@hotmail.com</t>
  </si>
  <si>
    <t>Randell Sam</t>
  </si>
  <si>
    <t>rsamsr64@gmail.com</t>
  </si>
  <si>
    <t>James Coon</t>
  </si>
  <si>
    <t>cubbiesrtuff@gmail.com</t>
  </si>
  <si>
    <t>Tory Queensley</t>
  </si>
  <si>
    <t>tmayvill@cord.edu</t>
  </si>
  <si>
    <t>JACOB HINTZE</t>
  </si>
  <si>
    <t>jhintze45@gmail.com</t>
  </si>
  <si>
    <t>Jitterbug Pearce</t>
  </si>
  <si>
    <t>tsjitter@hotmail.com</t>
  </si>
  <si>
    <t>shawnmurphy8989@gmail.com</t>
  </si>
  <si>
    <t>Tracey Johnston</t>
  </si>
  <si>
    <t>octbaby7454@gmail.com</t>
  </si>
  <si>
    <t>Jamie Simmons</t>
  </si>
  <si>
    <t>jkaufman@umn.edu</t>
  </si>
  <si>
    <t>Samantha Halon</t>
  </si>
  <si>
    <t>samanthahalon3@gmail.com</t>
  </si>
  <si>
    <t>dollim745@gmail.com</t>
  </si>
  <si>
    <t xml:space="preserve">Knife Lake </t>
  </si>
  <si>
    <t xml:space="preserve">Megan Johnson </t>
  </si>
  <si>
    <t>Shearfinesse8@outlook.com</t>
  </si>
  <si>
    <t>Megan.j.john.9@gmail.com</t>
  </si>
  <si>
    <t>jason Prosje</t>
  </si>
  <si>
    <t>jason.prosje@yahoo.com</t>
  </si>
  <si>
    <t xml:space="preserve">Brittney Bucholz </t>
  </si>
  <si>
    <t xml:space="preserve">Alex Ricca </t>
  </si>
  <si>
    <t>alexriccagustafson@gmail.com</t>
  </si>
  <si>
    <t xml:space="preserve">Jessica Lynn Irelan </t>
  </si>
  <si>
    <t>hi.jlsi@gmail.com</t>
  </si>
  <si>
    <t xml:space="preserve">Harriet Chambers </t>
  </si>
  <si>
    <t>hchambers0607@gmail.com</t>
  </si>
  <si>
    <t>Samantha Koivenen</t>
  </si>
  <si>
    <t>samantha@lakeplace.com</t>
  </si>
  <si>
    <t>Jesse Magnuson FJ12</t>
  </si>
  <si>
    <t xml:space="preserve">Justin McNeal </t>
  </si>
  <si>
    <t>justin.mcneal@minnesotarecovery.org</t>
  </si>
  <si>
    <t xml:space="preserve">Angela Simonson </t>
  </si>
  <si>
    <t>angela.simonson@yahoo.com</t>
  </si>
  <si>
    <t xml:space="preserve">Denise Hanes </t>
  </si>
  <si>
    <t>Bonniejmoffatt@live.com</t>
  </si>
  <si>
    <t xml:space="preserve">Tara Hart </t>
  </si>
  <si>
    <t>torontoalley@gmail.com</t>
  </si>
  <si>
    <t xml:space="preserve">Finn Kreamer </t>
  </si>
  <si>
    <t>Brittany Rohs</t>
  </si>
  <si>
    <t>Brittanyrohs@gmail.com</t>
  </si>
  <si>
    <t>amyhellerud@icloud.com</t>
  </si>
  <si>
    <t>Amy Hellerud Lake Agassiz Area SB56</t>
  </si>
  <si>
    <t>ashley Stoddard</t>
  </si>
  <si>
    <t>Laura Mahlendorf</t>
  </si>
  <si>
    <t xml:space="preserve">Patrick Benson </t>
  </si>
  <si>
    <t>Lisa Streit</t>
  </si>
  <si>
    <t>michael Lasota</t>
  </si>
  <si>
    <t xml:space="preserve">Chris Jirak </t>
  </si>
  <si>
    <t xml:space="preserve">Jeromie Hemmer </t>
  </si>
  <si>
    <t>akstodd10@gmail.com</t>
  </si>
  <si>
    <t>lauramah@msn.com</t>
  </si>
  <si>
    <t>jenbrownstampinup@gmail.com</t>
  </si>
  <si>
    <t>pattyb6363@gmail.com</t>
  </si>
  <si>
    <t>dylandski90@gmail.com</t>
  </si>
  <si>
    <t>felicia.blalock@chickasaw.net</t>
  </si>
  <si>
    <t>lisaastreit@yahoo.com</t>
  </si>
  <si>
    <t>miclasota@yahoo.com</t>
  </si>
  <si>
    <t>chrisdjirak@gmail.com</t>
  </si>
  <si>
    <t>Hemmerjeromie@gmail.com</t>
  </si>
  <si>
    <t>John Ozwald</t>
  </si>
  <si>
    <t>Kelly Oelke</t>
  </si>
  <si>
    <t>Nikki Sawyer</t>
  </si>
  <si>
    <t>4johnoswald@gmail.com</t>
  </si>
  <si>
    <t>oelkekelly@gmail.com</t>
  </si>
  <si>
    <t>nikki.sawyer@ymail.com</t>
  </si>
  <si>
    <t>Molly Norman</t>
  </si>
  <si>
    <t>James Piere</t>
  </si>
  <si>
    <t>Jason Grindeland</t>
  </si>
  <si>
    <t xml:space="preserve">Mara Nolan </t>
  </si>
  <si>
    <t>Gerianne Brunelle</t>
  </si>
  <si>
    <t>Douglas Mitchell</t>
  </si>
  <si>
    <t>Douglas.W.Mitchell65@gmail.com</t>
  </si>
  <si>
    <t xml:space="preserve">Charles Green </t>
  </si>
  <si>
    <t>Reddster33@hotmail.com</t>
  </si>
  <si>
    <t>Dawn Delille</t>
  </si>
  <si>
    <t>77waaban@gmail.com</t>
  </si>
  <si>
    <t xml:space="preserve">Ryan Brown </t>
  </si>
  <si>
    <t>ryan.tristan.b@gmail.com</t>
  </si>
  <si>
    <t>alstew66@gmail.com</t>
  </si>
  <si>
    <t>Allie Mcdevitt</t>
  </si>
  <si>
    <t>allie.mcdevitt@life-house.org</t>
  </si>
  <si>
    <t>Summer Stweard</t>
  </si>
  <si>
    <t>thatgirlfrankie@gmail.com</t>
  </si>
  <si>
    <t>Lonny Dahl</t>
  </si>
  <si>
    <t>lonnydahl169@gmail.com</t>
  </si>
  <si>
    <t>lauren Healy</t>
  </si>
  <si>
    <t>healy.lauren2015@gmail.com</t>
  </si>
  <si>
    <t>Dannielle Volkmann</t>
  </si>
  <si>
    <t>dani.volkmann96@gmail.com</t>
  </si>
  <si>
    <t>Jennifer Perdue</t>
  </si>
  <si>
    <t>jennifer.hamilton6@gmail.com</t>
  </si>
  <si>
    <t>John Belanger</t>
  </si>
  <si>
    <t>J_belanger1@outlook.com</t>
  </si>
  <si>
    <t>Sheila Fetters</t>
  </si>
  <si>
    <t>boget31874@yahoo.com</t>
  </si>
  <si>
    <t>Tim Beatty</t>
  </si>
  <si>
    <t>a28.timma@gmail.com</t>
  </si>
  <si>
    <t xml:space="preserve">Cortez Riley </t>
  </si>
  <si>
    <t>gross.samantha11@gmail.com</t>
  </si>
  <si>
    <t>samantha gross</t>
  </si>
  <si>
    <t>Andrew@stonebreakersdesign.com (refunded)</t>
  </si>
  <si>
    <t>dmedora@mediacombb.net (refunded)</t>
  </si>
  <si>
    <t>kep894@yahoo.com (refunded)</t>
  </si>
  <si>
    <t>oneblossom21@gmail.com (Refunded)</t>
  </si>
  <si>
    <t>Julie Scott</t>
  </si>
  <si>
    <t>Juliescott1216@gmail.com</t>
  </si>
  <si>
    <t>Chris Scott</t>
  </si>
  <si>
    <t>Cathy Schlenk</t>
  </si>
  <si>
    <t xml:space="preserve">Elija Anderson </t>
  </si>
  <si>
    <t xml:space="preserve">Amber Greco </t>
  </si>
  <si>
    <t>Sarah Chatelain Gross</t>
  </si>
  <si>
    <t>Serenity Gross</t>
  </si>
  <si>
    <t>Jim Palmer</t>
  </si>
  <si>
    <t>Sherri Houle</t>
  </si>
  <si>
    <t>Chris Corbet</t>
  </si>
  <si>
    <t>Alvan Freeman</t>
  </si>
  <si>
    <t>Matthrew Wagner</t>
  </si>
  <si>
    <t>Lindsey Hella</t>
  </si>
  <si>
    <t>Mike Molitor</t>
  </si>
  <si>
    <t>Ashton Dean</t>
  </si>
  <si>
    <t>Rachel Dean</t>
  </si>
  <si>
    <t xml:space="preserve">Azeria Dean </t>
  </si>
  <si>
    <t>Troy Doe</t>
  </si>
  <si>
    <t>Isabell Townley</t>
  </si>
  <si>
    <t>Joe Barnett</t>
  </si>
  <si>
    <t>Jeremy Traen</t>
  </si>
  <si>
    <t>Shelby Williams</t>
  </si>
  <si>
    <t>Elexis Centers</t>
  </si>
  <si>
    <t>Gwen Chambers</t>
  </si>
  <si>
    <t>ccschlenk@msn.com</t>
  </si>
  <si>
    <t>sedition77777@icloud.com</t>
  </si>
  <si>
    <t>jamzscg@gmail.com</t>
  </si>
  <si>
    <t>Sherri.lynn1973@yahoo.com</t>
  </si>
  <si>
    <t>cacorbet1@gmail.com</t>
  </si>
  <si>
    <t>Emily Rogne</t>
  </si>
  <si>
    <t>Gaea Downing</t>
  </si>
  <si>
    <t>gaeadowning@gmail.com</t>
  </si>
  <si>
    <t>freezinger@yahoo.com</t>
  </si>
  <si>
    <t>Mary Kay Riendeau</t>
  </si>
  <si>
    <t>m.riendeau@mesabirange.edu</t>
  </si>
  <si>
    <t xml:space="preserve">Jim Sterzinger (2019 Free Reg) </t>
  </si>
  <si>
    <t xml:space="preserve">Kristi Brown </t>
  </si>
  <si>
    <t>kristibrown30@gmail.com</t>
  </si>
  <si>
    <t>Bryan Johnson</t>
  </si>
  <si>
    <t>Carolyn Obermeyer</t>
  </si>
  <si>
    <t>Kevin Perdue</t>
  </si>
  <si>
    <t>Miles Beaks</t>
  </si>
  <si>
    <t>Alex Krenzael</t>
  </si>
  <si>
    <t>Jay Jay Pryor</t>
  </si>
  <si>
    <t>Jordan Dainty</t>
  </si>
  <si>
    <t>Antonio Cortez</t>
  </si>
  <si>
    <t>cortoni00629@gmail.com</t>
  </si>
  <si>
    <t>Sean Sollivar</t>
  </si>
  <si>
    <t xml:space="preserve">Rachelle Sollivar </t>
  </si>
  <si>
    <t>jrdainty@gmail.com</t>
  </si>
  <si>
    <t>Rob Wilkens</t>
  </si>
  <si>
    <t>Travis Fritz</t>
  </si>
  <si>
    <t>Bonnie Moffatt</t>
  </si>
  <si>
    <t>Alicia Roberts</t>
  </si>
  <si>
    <t>RobertsAJ74@gmail.com</t>
  </si>
  <si>
    <t>Adam Salfor</t>
  </si>
  <si>
    <t>jespar27@gmail.com</t>
  </si>
  <si>
    <t>James Pribyl</t>
  </si>
  <si>
    <t>Keith Wilson</t>
  </si>
  <si>
    <t>keithwilson004@gmail.com</t>
  </si>
  <si>
    <t>felicia Bladlock</t>
  </si>
  <si>
    <t>Don Cotton</t>
  </si>
  <si>
    <t>Crispin Baker</t>
  </si>
  <si>
    <t>Justin Lassonde</t>
  </si>
  <si>
    <t>Stephen Bradbeer</t>
  </si>
  <si>
    <t>Rebekah Ross VB89</t>
  </si>
  <si>
    <t>Bonnie Dougherty</t>
  </si>
  <si>
    <t>Kristyn Mensink</t>
  </si>
  <si>
    <t>Paul Egan</t>
  </si>
  <si>
    <t>Angela Bardon</t>
  </si>
  <si>
    <t>Stacy Repp</t>
  </si>
  <si>
    <t>Deona Escalera</t>
  </si>
  <si>
    <t>Roger Gould</t>
  </si>
  <si>
    <t>Mary Peralta</t>
  </si>
  <si>
    <t>Fri 5:30pm</t>
  </si>
  <si>
    <t>Dean Carlson</t>
  </si>
  <si>
    <t>abardon15@gmail.com</t>
  </si>
  <si>
    <t>kristynmensink@hotmail.com</t>
  </si>
  <si>
    <t>stephen.bradbeer@yahoo.com</t>
  </si>
  <si>
    <t>becks.ross94@gmail.com</t>
  </si>
  <si>
    <t xml:space="preserve">Austin Roley </t>
  </si>
  <si>
    <t>austinroley769@gmail.com</t>
  </si>
  <si>
    <t>Rebecca Hemann</t>
  </si>
  <si>
    <t xml:space="preserve">Tyler Leitch </t>
  </si>
  <si>
    <t>Julian Pugan</t>
  </si>
  <si>
    <t>Courtney Brandvold</t>
  </si>
  <si>
    <t>Hannah Tibbetts</t>
  </si>
  <si>
    <t>Dale Willer</t>
  </si>
  <si>
    <t>Calla Mcclure</t>
  </si>
  <si>
    <t>Nellie Tibbetts</t>
  </si>
  <si>
    <t>htibbetts11@gmail.com</t>
  </si>
  <si>
    <t>Max Loosen</t>
  </si>
  <si>
    <t>itsmax93@gmail.com</t>
  </si>
  <si>
    <t>Jessica Bomen</t>
  </si>
  <si>
    <t>Cecily Cromble</t>
  </si>
  <si>
    <t>carolyn.obermeyer@yahoo.com</t>
  </si>
  <si>
    <t>acenters15@gmail.com</t>
  </si>
  <si>
    <t>shelbyw0175@gmail.com</t>
  </si>
  <si>
    <t>7barnett9@gmail.com</t>
  </si>
  <si>
    <t>troy.doe72@gmail.com</t>
  </si>
  <si>
    <t>Brenden Castronvovo</t>
  </si>
  <si>
    <t>Kyly Hartman</t>
  </si>
  <si>
    <t>Carlos Arauz</t>
  </si>
  <si>
    <t>castronvovo0516@gmail.com</t>
  </si>
  <si>
    <t>Taylor Tadlock</t>
  </si>
  <si>
    <t>Hanna Kazempour</t>
  </si>
  <si>
    <t>kazemoh@augsburg.edu</t>
  </si>
  <si>
    <t>dapperdancer@hotmail.com</t>
  </si>
  <si>
    <t>ajfreeman175@gmail.com</t>
  </si>
  <si>
    <t>Peter Vanderlinden</t>
  </si>
  <si>
    <t>peteincomporated@gmail.com</t>
  </si>
  <si>
    <t>jessemagnuson20@gmail.com</t>
  </si>
  <si>
    <t>Dylan Haft</t>
  </si>
  <si>
    <t>Jenni Aagaard</t>
  </si>
  <si>
    <t>Al Stanley</t>
  </si>
  <si>
    <t>Matt G</t>
  </si>
  <si>
    <t>Macy Goldspring</t>
  </si>
  <si>
    <t>Creed Smith</t>
  </si>
  <si>
    <t>Luke Kaufman</t>
  </si>
  <si>
    <t>Tim</t>
  </si>
  <si>
    <t xml:space="preserve">Casey </t>
  </si>
  <si>
    <t>Brett Devereaux</t>
  </si>
  <si>
    <t>brettdevereaux2@gmail.com</t>
  </si>
  <si>
    <t>Broch Vetter</t>
  </si>
  <si>
    <t>James Anderson</t>
  </si>
  <si>
    <t>wrench.jra@gmail.com</t>
  </si>
  <si>
    <t>Alie Staniger</t>
  </si>
  <si>
    <t>Kristin Hansen</t>
  </si>
  <si>
    <t>daykristin03@gmail.com</t>
  </si>
  <si>
    <t>Dan Krause</t>
  </si>
  <si>
    <t>xharstiband@yahoo.com</t>
  </si>
  <si>
    <t xml:space="preserve">Emse </t>
  </si>
  <si>
    <t>katiesollid@gmail.com</t>
  </si>
  <si>
    <t>Michael McClatchey</t>
  </si>
  <si>
    <t>mcclatcheysober66@gmail.com</t>
  </si>
  <si>
    <t>ashley, hanson</t>
  </si>
  <si>
    <t>ashkleyhanson07@gmail.com</t>
  </si>
  <si>
    <t>amber smith</t>
  </si>
  <si>
    <t>ambersmith28@yahoo.com</t>
  </si>
  <si>
    <t>theo patrin</t>
  </si>
  <si>
    <t>theopatrin@hotmail.com</t>
  </si>
  <si>
    <t>tyler Patrin</t>
  </si>
  <si>
    <t>nancy eddy</t>
  </si>
  <si>
    <t>stephany kelley</t>
  </si>
  <si>
    <t>kelley.stephanie@gmail.com</t>
  </si>
  <si>
    <t>charity nordlinder</t>
  </si>
  <si>
    <t>nordlinderc1@gmail.com</t>
  </si>
  <si>
    <t>crystal Peery</t>
  </si>
  <si>
    <t>peery2015@GMAIL.COM</t>
  </si>
  <si>
    <t>alyssa pretzer</t>
  </si>
  <si>
    <t>nyasia lee</t>
  </si>
  <si>
    <t>kayla, alvarez</t>
  </si>
  <si>
    <t>kaylaalvarez6284@gmail.com</t>
  </si>
  <si>
    <t xml:space="preserve">Megan Livingston </t>
  </si>
  <si>
    <t xml:space="preserve">Aubrey Livingston </t>
  </si>
  <si>
    <t>Friday 9pm</t>
  </si>
  <si>
    <t>Saturday 4:30pm</t>
  </si>
  <si>
    <t>Saturday noon</t>
  </si>
  <si>
    <t>Postage--Free Registrations</t>
  </si>
  <si>
    <t>Printing Office Max</t>
  </si>
  <si>
    <t>Registration 2021</t>
  </si>
  <si>
    <t>4:30PM</t>
  </si>
  <si>
    <t>Elena Fragoza (refunded online)</t>
  </si>
  <si>
    <t>JENNIFER Brown (refunded online)</t>
  </si>
  <si>
    <t>Andrew Lasher (refunded online)</t>
  </si>
  <si>
    <t xml:space="preserve">Kyle Peterson (refunded online) </t>
  </si>
  <si>
    <t>Amy Peterson (refunded online)</t>
  </si>
  <si>
    <t>Dollie Clater (refunded online Paid in person)</t>
  </si>
  <si>
    <t xml:space="preserve">Dylan Dymowski (refunded online unsure if paid in person) </t>
  </si>
  <si>
    <t>Diane Clark (refunded online)</t>
  </si>
  <si>
    <t>Alec Stewart (Refunded online-paid in person)</t>
  </si>
  <si>
    <t>shawn murphy (refunded online)</t>
  </si>
  <si>
    <t>Postage</t>
  </si>
  <si>
    <t>5:30PM</t>
  </si>
  <si>
    <t xml:space="preserve">Square Friday </t>
  </si>
  <si>
    <t xml:space="preserve">Square Saturday/Sunday </t>
  </si>
  <si>
    <t>Online registrations</t>
  </si>
  <si>
    <t xml:space="preserve">Registration Flyers ISD 709 (invoice) </t>
  </si>
  <si>
    <t>Registration Forms &amp; Maps</t>
  </si>
  <si>
    <t xml:space="preserve">Square Friday Fee </t>
  </si>
  <si>
    <t>Square Saturday Sunday Fee</t>
  </si>
  <si>
    <t>Katie Sollid -- Yoga</t>
  </si>
  <si>
    <t>Vermilion Bucks</t>
  </si>
  <si>
    <t>Programming</t>
  </si>
  <si>
    <t>Check in Mail</t>
  </si>
  <si>
    <t>Check in Post Office Box</t>
  </si>
  <si>
    <t>12PM</t>
  </si>
  <si>
    <t xml:space="preserve">Online Fee </t>
  </si>
  <si>
    <t>Discount Breakdown</t>
  </si>
  <si>
    <t>PrePd</t>
  </si>
  <si>
    <t>Method of Pymt</t>
  </si>
  <si>
    <t>Wesley Haymond</t>
  </si>
  <si>
    <t>Prepd</t>
  </si>
  <si>
    <t>Ref PrePd</t>
  </si>
  <si>
    <t>Pd Online by</t>
  </si>
  <si>
    <t>Over/(Under)</t>
  </si>
  <si>
    <t>Charged to Card</t>
  </si>
  <si>
    <t>Amount Due</t>
  </si>
  <si>
    <t>Amount Paid</t>
  </si>
  <si>
    <t>Paid By</t>
  </si>
  <si>
    <t>Difference</t>
  </si>
  <si>
    <t>Comments</t>
  </si>
  <si>
    <t xml:space="preserve">Registration Spreadsheet </t>
  </si>
  <si>
    <t>Prepaid Spreadsheet</t>
  </si>
  <si>
    <t>No Show???</t>
  </si>
  <si>
    <t>Looks like he was in a cabin and sheet should reflect $125 not $160 - Is he a committee member</t>
  </si>
  <si>
    <t>Online Pymt</t>
  </si>
  <si>
    <t>Paid $130x 3=390 Refunded $130 Net $260. Did he pay for 2 people?</t>
  </si>
  <si>
    <t>Was a committee member refund given in cash?</t>
  </si>
  <si>
    <t>$20 difference between the 3 registrations</t>
  </si>
  <si>
    <t>Should there be a newcomer donation entered on Reg Spreadsheet</t>
  </si>
  <si>
    <t>Did he pay the $15 in cash?</t>
  </si>
  <si>
    <t>Was a cash refund given?</t>
  </si>
  <si>
    <t>Did Kristyn Mensink pay for this?</t>
  </si>
  <si>
    <t>Did this also cover Alicia Roberts?</t>
  </si>
  <si>
    <t>Has he asked for a refund? Not on registration worsheet.</t>
  </si>
  <si>
    <t>On Registration but Not on Prepay Worksheet</t>
  </si>
  <si>
    <t>Prepaid Online versus Registration Worksheet</t>
  </si>
  <si>
    <t>Revenue Per Sheet</t>
  </si>
  <si>
    <t>Actual</t>
  </si>
  <si>
    <t>Was the $1.00 paid in cash?</t>
  </si>
  <si>
    <t>Corrected</t>
  </si>
  <si>
    <t>Act Fees</t>
  </si>
  <si>
    <t>Per Registration Spreadsheet</t>
  </si>
  <si>
    <t>Corrections needed per Prepaid Audit</t>
  </si>
  <si>
    <t>Errors unresolved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</si>
</sst>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&quot;$&quot;* #,##0_);_(&quot;$&quot;* \(#,##0\);_(&quot;$&quot;* &quot;-&quot;??_);_(@_)"/>
    <numFmt numFmtId="166" formatCode="0.000"/>
    <numFmt numFmtId="167" formatCode="_(* #,##0_);_(* \(#,##0\);_(* &quot;-&quot;??_);_(@_)"/>
    <numFmt numFmtId="168" formatCode="[$-409]h:mm\ AM/PM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double"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theme="0"/>
      <name val="Arial"/>
      <family val="2"/>
    </font>
    <font>
      <b/>
      <u/>
      <sz val="8"/>
      <color theme="1"/>
      <name val="Arial"/>
      <family val="2"/>
    </font>
    <font>
      <b/>
      <u/>
      <sz val="8"/>
      <name val="Arial"/>
      <family val="2"/>
    </font>
    <font>
      <sz val="8"/>
      <color theme="4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24">
    <xf numFmtId="0" fontId="0" fillId="0" borderId="0" xfId="0"/>
    <xf numFmtId="1" fontId="3" fillId="0" borderId="1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</xf>
    <xf numFmtId="14" fontId="8" fillId="0" borderId="0" xfId="0" applyNumberFormat="1" applyFont="1" applyFill="1" applyBorder="1" applyAlignment="1" applyProtection="1">
      <alignment vertical="center"/>
    </xf>
    <xf numFmtId="1" fontId="6" fillId="0" borderId="1" xfId="0" applyNumberFormat="1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3" fontId="11" fillId="0" borderId="1" xfId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  <protection locked="0"/>
    </xf>
    <xf numFmtId="1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4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43" fontId="11" fillId="0" borderId="0" xfId="1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4" fontId="6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" fontId="16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left" vertical="center"/>
      <protection locked="0"/>
    </xf>
    <xf numFmtId="1" fontId="17" fillId="0" borderId="0" xfId="0" applyNumberFormat="1" applyFont="1" applyFill="1" applyAlignment="1" applyProtection="1">
      <alignment horizontal="center" vertical="center"/>
      <protection locked="0"/>
    </xf>
    <xf numFmtId="49" fontId="6" fillId="0" borderId="0" xfId="0" applyNumberFormat="1" applyFont="1" applyFill="1" applyAlignment="1" applyProtection="1">
      <alignment horizontal="left" vertical="center"/>
      <protection locked="0"/>
    </xf>
    <xf numFmtId="0" fontId="6" fillId="7" borderId="0" xfId="0" applyFont="1" applyFill="1" applyBorder="1" applyAlignment="1" applyProtection="1">
      <alignment horizontal="left" vertical="center"/>
      <protection locked="0"/>
    </xf>
    <xf numFmtId="0" fontId="6" fillId="7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/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" fontId="6" fillId="0" borderId="0" xfId="0" applyNumberFormat="1" applyFont="1" applyAlignment="1" applyProtection="1">
      <alignment horizontal="center" vertical="center"/>
    </xf>
    <xf numFmtId="1" fontId="6" fillId="0" borderId="0" xfId="0" applyNumberFormat="1" applyFont="1" applyAlignment="1" applyProtection="1">
      <alignment horizontal="left" vertical="center"/>
    </xf>
    <xf numFmtId="43" fontId="11" fillId="0" borderId="0" xfId="1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3" fontId="18" fillId="5" borderId="0" xfId="0" applyNumberFormat="1" applyFont="1" applyFill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</xf>
    <xf numFmtId="4" fontId="14" fillId="0" borderId="0" xfId="0" applyNumberFormat="1" applyFont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 wrapText="1"/>
    </xf>
    <xf numFmtId="14" fontId="18" fillId="4" borderId="12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</xf>
    <xf numFmtId="1" fontId="6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left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165" fontId="9" fillId="13" borderId="1" xfId="2" applyNumberFormat="1" applyFont="1" applyFill="1" applyBorder="1" applyAlignment="1" applyProtection="1">
      <alignment horizontal="center" vertical="center"/>
    </xf>
    <xf numFmtId="165" fontId="9" fillId="9" borderId="1" xfId="2" applyNumberFormat="1" applyFont="1" applyFill="1" applyBorder="1" applyAlignment="1" applyProtection="1">
      <alignment horizontal="center" vertical="center"/>
    </xf>
    <xf numFmtId="165" fontId="9" fillId="15" borderId="1" xfId="2" applyNumberFormat="1" applyFont="1" applyFill="1" applyBorder="1" applyAlignment="1" applyProtection="1">
      <alignment horizontal="center" vertical="center"/>
    </xf>
    <xf numFmtId="165" fontId="9" fillId="10" borderId="1" xfId="2" applyNumberFormat="1" applyFont="1" applyFill="1" applyBorder="1" applyAlignment="1" applyProtection="1">
      <alignment horizontal="center" vertical="center"/>
    </xf>
    <xf numFmtId="165" fontId="9" fillId="14" borderId="1" xfId="2" applyNumberFormat="1" applyFont="1" applyFill="1" applyBorder="1" applyAlignment="1" applyProtection="1">
      <alignment horizontal="center" vertical="center"/>
    </xf>
    <xf numFmtId="43" fontId="21" fillId="0" borderId="1" xfId="1" applyFont="1" applyFill="1" applyBorder="1" applyAlignment="1" applyProtection="1">
      <alignment horizontal="center" vertical="center"/>
      <protection locked="0"/>
    </xf>
    <xf numFmtId="44" fontId="0" fillId="0" borderId="0" xfId="2" applyFont="1"/>
    <xf numFmtId="44" fontId="0" fillId="0" borderId="0" xfId="2" applyFont="1" applyAlignment="1">
      <alignment shrinkToFit="1"/>
    </xf>
    <xf numFmtId="0" fontId="0" fillId="0" borderId="0" xfId="0" applyFont="1"/>
    <xf numFmtId="0" fontId="0" fillId="0" borderId="0" xfId="0" applyFont="1" applyAlignment="1">
      <alignment shrinkToFit="1"/>
    </xf>
    <xf numFmtId="0" fontId="22" fillId="0" borderId="0" xfId="0" applyFont="1" applyAlignment="1">
      <alignment horizontal="center"/>
    </xf>
    <xf numFmtId="44" fontId="22" fillId="0" borderId="0" xfId="2" applyFont="1" applyAlignment="1">
      <alignment horizontal="center"/>
    </xf>
    <xf numFmtId="0" fontId="0" fillId="0" borderId="0" xfId="0" applyFont="1" applyAlignment="1">
      <alignment horizontal="center"/>
    </xf>
    <xf numFmtId="44" fontId="0" fillId="0" borderId="14" xfId="2" applyFont="1" applyBorder="1" applyAlignment="1">
      <alignment shrinkToFit="1"/>
    </xf>
    <xf numFmtId="0" fontId="5" fillId="0" borderId="0" xfId="0" applyFont="1" applyAlignment="1">
      <alignment horizontal="right" shrinkToFit="1"/>
    </xf>
    <xf numFmtId="44" fontId="0" fillId="0" borderId="0" xfId="2" applyFont="1" applyBorder="1" applyAlignment="1">
      <alignment shrinkToFit="1"/>
    </xf>
    <xf numFmtId="0" fontId="0" fillId="0" borderId="0" xfId="0" applyFont="1" applyAlignment="1">
      <alignment horizontal="center" shrinkToFit="1"/>
    </xf>
    <xf numFmtId="0" fontId="0" fillId="0" borderId="14" xfId="0" applyFont="1" applyBorder="1" applyAlignment="1">
      <alignment horizontal="center" shrinkToFit="1"/>
    </xf>
    <xf numFmtId="0" fontId="10" fillId="17" borderId="8" xfId="0" applyFont="1" applyFill="1" applyBorder="1" applyAlignment="1" applyProtection="1">
      <alignment horizontal="center" vertical="center" wrapText="1"/>
    </xf>
    <xf numFmtId="1" fontId="10" fillId="17" borderId="8" xfId="0" applyNumberFormat="1" applyFont="1" applyFill="1" applyBorder="1" applyAlignment="1" applyProtection="1">
      <alignment horizontal="center" vertical="center" wrapText="1"/>
    </xf>
    <xf numFmtId="164" fontId="10" fillId="17" borderId="8" xfId="0" applyNumberFormat="1" applyFont="1" applyFill="1" applyBorder="1" applyAlignment="1" applyProtection="1">
      <alignment horizontal="center" vertical="center" wrapText="1"/>
    </xf>
    <xf numFmtId="43" fontId="10" fillId="17" borderId="8" xfId="1" applyFont="1" applyFill="1" applyBorder="1" applyAlignment="1" applyProtection="1">
      <alignment horizontal="center" vertical="center" wrapText="1"/>
    </xf>
    <xf numFmtId="4" fontId="10" fillId="17" borderId="8" xfId="0" applyNumberFormat="1" applyFont="1" applyFill="1" applyBorder="1" applyAlignment="1" applyProtection="1">
      <alignment horizontal="center" vertical="center" wrapText="1"/>
    </xf>
    <xf numFmtId="4" fontId="15" fillId="17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17" borderId="8" xfId="0" applyFont="1" applyFill="1" applyBorder="1" applyAlignment="1" applyProtection="1">
      <alignment horizontal="center" vertical="center" wrapText="1"/>
    </xf>
    <xf numFmtId="0" fontId="6" fillId="17" borderId="8" xfId="0" applyFont="1" applyFill="1" applyBorder="1" applyAlignment="1" applyProtection="1">
      <alignment horizontal="center" vertical="center" wrapText="1"/>
      <protection locked="0"/>
    </xf>
    <xf numFmtId="0" fontId="6" fillId="17" borderId="9" xfId="0" applyFont="1" applyFill="1" applyBorder="1" applyAlignment="1" applyProtection="1">
      <alignment horizontal="center" vertical="center" wrapText="1"/>
      <protection locked="0"/>
    </xf>
    <xf numFmtId="0" fontId="7" fillId="17" borderId="4" xfId="0" applyFont="1" applyFill="1" applyBorder="1" applyAlignment="1" applyProtection="1">
      <alignment horizontal="center" vertical="center" wrapText="1"/>
    </xf>
    <xf numFmtId="0" fontId="7" fillId="17" borderId="5" xfId="0" applyFont="1" applyFill="1" applyBorder="1" applyAlignment="1" applyProtection="1">
      <alignment horizontal="center" vertical="center" wrapText="1"/>
    </xf>
    <xf numFmtId="0" fontId="7" fillId="17" borderId="11" xfId="0" applyFont="1" applyFill="1" applyBorder="1" applyAlignment="1" applyProtection="1">
      <alignment horizontal="center" vertical="center" wrapText="1"/>
    </xf>
    <xf numFmtId="0" fontId="7" fillId="17" borderId="6" xfId="0" applyFont="1" applyFill="1" applyBorder="1" applyAlignment="1" applyProtection="1">
      <alignment horizontal="center" vertical="center" wrapText="1"/>
    </xf>
    <xf numFmtId="1" fontId="6" fillId="16" borderId="0" xfId="0" applyNumberFormat="1" applyFont="1" applyFill="1" applyAlignment="1" applyProtection="1">
      <alignment horizontal="center" vertical="center"/>
    </xf>
    <xf numFmtId="1" fontId="6" fillId="12" borderId="0" xfId="0" applyNumberFormat="1" applyFont="1" applyFill="1" applyAlignment="1" applyProtection="1">
      <alignment horizontal="center" vertical="center"/>
    </xf>
    <xf numFmtId="0" fontId="0" fillId="0" borderId="0" xfId="1" applyNumberFormat="1" applyFont="1" applyAlignment="1">
      <alignment horizontal="right" shrinkToFit="1"/>
    </xf>
    <xf numFmtId="43" fontId="11" fillId="17" borderId="1" xfId="1" applyFont="1" applyFill="1" applyBorder="1" applyAlignment="1" applyProtection="1">
      <alignment horizontal="center" vertical="center"/>
    </xf>
    <xf numFmtId="1" fontId="6" fillId="18" borderId="0" xfId="0" applyNumberFormat="1" applyFont="1" applyFill="1" applyAlignment="1" applyProtection="1">
      <alignment horizontal="center" vertical="center"/>
    </xf>
    <xf numFmtId="165" fontId="9" fillId="19" borderId="1" xfId="2" applyNumberFormat="1" applyFont="1" applyFill="1" applyBorder="1" applyAlignment="1" applyProtection="1">
      <alignment horizontal="center" vertical="center"/>
    </xf>
    <xf numFmtId="0" fontId="13" fillId="6" borderId="0" xfId="0" applyFont="1" applyFill="1" applyBorder="1" applyAlignment="1" applyProtection="1">
      <alignment horizontal="center" vertical="center"/>
    </xf>
    <xf numFmtId="0" fontId="7" fillId="17" borderId="0" xfId="0" applyFont="1" applyFill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center" vertical="center"/>
    </xf>
    <xf numFmtId="49" fontId="6" fillId="0" borderId="0" xfId="0" applyNumberFormat="1" applyFont="1" applyFill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right" vertical="center"/>
    </xf>
    <xf numFmtId="49" fontId="6" fillId="20" borderId="8" xfId="2" applyNumberFormat="1" applyFont="1" applyFill="1" applyBorder="1" applyAlignment="1" applyProtection="1">
      <alignment horizontal="center" vertical="center"/>
    </xf>
    <xf numFmtId="49" fontId="6" fillId="17" borderId="8" xfId="2" applyNumberFormat="1" applyFont="1" applyFill="1" applyBorder="1" applyAlignment="1" applyProtection="1">
      <alignment horizontal="center" vertical="center"/>
    </xf>
    <xf numFmtId="49" fontId="6" fillId="17" borderId="9" xfId="2" applyNumberFormat="1" applyFont="1" applyFill="1" applyBorder="1" applyAlignment="1" applyProtection="1">
      <alignment horizontal="center" vertical="center"/>
    </xf>
    <xf numFmtId="0" fontId="25" fillId="0" borderId="0" xfId="0" applyFont="1"/>
    <xf numFmtId="18" fontId="25" fillId="0" borderId="0" xfId="0" applyNumberFormat="1" applyFont="1"/>
    <xf numFmtId="0" fontId="25" fillId="0" borderId="13" xfId="0" applyFont="1" applyBorder="1"/>
    <xf numFmtId="0" fontId="25" fillId="0" borderId="7" xfId="0" applyFont="1" applyBorder="1"/>
    <xf numFmtId="0" fontId="24" fillId="0" borderId="18" xfId="0" applyNumberFormat="1" applyFont="1" applyBorder="1" applyAlignment="1">
      <alignment horizontal="center" vertical="center"/>
    </xf>
    <xf numFmtId="0" fontId="24" fillId="0" borderId="21" xfId="0" applyNumberFormat="1" applyFont="1" applyBorder="1" applyAlignment="1">
      <alignment horizontal="center" vertical="center"/>
    </xf>
    <xf numFmtId="49" fontId="8" fillId="21" borderId="0" xfId="0" applyNumberFormat="1" applyFont="1" applyFill="1" applyAlignment="1" applyProtection="1">
      <alignment horizontal="center" vertical="center"/>
    </xf>
    <xf numFmtId="44" fontId="6" fillId="0" borderId="0" xfId="0" applyNumberFormat="1" applyFont="1" applyFill="1" applyBorder="1" applyAlignment="1" applyProtection="1">
      <alignment horizontal="center" vertical="center"/>
      <protection locked="0"/>
    </xf>
    <xf numFmtId="43" fontId="0" fillId="0" borderId="0" xfId="1" applyFont="1"/>
    <xf numFmtId="14" fontId="0" fillId="0" borderId="0" xfId="0" applyNumberFormat="1"/>
    <xf numFmtId="49" fontId="0" fillId="0" borderId="0" xfId="0" applyNumberFormat="1"/>
    <xf numFmtId="49" fontId="0" fillId="0" borderId="0" xfId="1" applyNumberFormat="1" applyFont="1"/>
    <xf numFmtId="0" fontId="28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14" fontId="28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right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9" fontId="3" fillId="0" borderId="0" xfId="0" applyNumberFormat="1" applyFont="1" applyAlignment="1"/>
    <xf numFmtId="0" fontId="0" fillId="0" borderId="0" xfId="0" applyAlignment="1">
      <alignment horizontal="right"/>
    </xf>
    <xf numFmtId="49" fontId="23" fillId="0" borderId="0" xfId="0" applyNumberFormat="1" applyFont="1"/>
    <xf numFmtId="14" fontId="23" fillId="0" borderId="0" xfId="0" applyNumberFormat="1" applyFont="1"/>
    <xf numFmtId="0" fontId="23" fillId="0" borderId="0" xfId="0" applyFont="1"/>
    <xf numFmtId="14" fontId="0" fillId="0" borderId="0" xfId="1" applyNumberFormat="1" applyFont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14" fontId="28" fillId="0" borderId="0" xfId="1" applyNumberFormat="1" applyFont="1" applyAlignment="1">
      <alignment horizontal="center"/>
    </xf>
    <xf numFmtId="43" fontId="28" fillId="0" borderId="0" xfId="1" applyFont="1" applyAlignment="1">
      <alignment horizontal="center"/>
    </xf>
    <xf numFmtId="43" fontId="28" fillId="0" borderId="0" xfId="1" applyFont="1" applyAlignment="1">
      <alignment horizontal="left"/>
    </xf>
    <xf numFmtId="43" fontId="23" fillId="0" borderId="0" xfId="1" applyFont="1"/>
    <xf numFmtId="43" fontId="0" fillId="0" borderId="0" xfId="0" applyNumberFormat="1"/>
    <xf numFmtId="43" fontId="29" fillId="0" borderId="0" xfId="1" applyFont="1" applyAlignment="1">
      <alignment horizontal="center"/>
    </xf>
    <xf numFmtId="49" fontId="0" fillId="0" borderId="7" xfId="1" applyNumberFormat="1" applyFont="1" applyBorder="1" applyAlignment="1">
      <alignment horizontal="left"/>
    </xf>
    <xf numFmtId="49" fontId="0" fillId="0" borderId="0" xfId="1" applyNumberFormat="1" applyFont="1" applyFill="1" applyBorder="1" applyAlignment="1">
      <alignment horizontal="left"/>
    </xf>
    <xf numFmtId="49" fontId="0" fillId="0" borderId="0" xfId="1" applyNumberFormat="1" applyFont="1" applyAlignment="1">
      <alignment horizontal="left"/>
    </xf>
    <xf numFmtId="44" fontId="5" fillId="0" borderId="0" xfId="2" applyFont="1" applyAlignment="1">
      <alignment horizontal="center"/>
    </xf>
    <xf numFmtId="44" fontId="5" fillId="0" borderId="14" xfId="2" applyFont="1" applyBorder="1" applyAlignment="1">
      <alignment horizontal="center"/>
    </xf>
    <xf numFmtId="44" fontId="23" fillId="0" borderId="0" xfId="2" applyFont="1" applyAlignment="1">
      <alignment horizontal="left"/>
    </xf>
    <xf numFmtId="4" fontId="0" fillId="0" borderId="0" xfId="0" applyNumberFormat="1"/>
    <xf numFmtId="49" fontId="23" fillId="0" borderId="0" xfId="0" applyNumberFormat="1" applyFont="1" applyAlignment="1">
      <alignment horizontal="center"/>
    </xf>
    <xf numFmtId="1" fontId="6" fillId="19" borderId="0" xfId="0" applyNumberFormat="1" applyFont="1" applyFill="1" applyAlignment="1" applyProtection="1">
      <alignment horizontal="center" vertical="center"/>
    </xf>
    <xf numFmtId="164" fontId="6" fillId="22" borderId="0" xfId="0" applyNumberFormat="1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 wrapText="1"/>
    </xf>
    <xf numFmtId="0" fontId="24" fillId="0" borderId="15" xfId="0" applyNumberFormat="1" applyFont="1" applyBorder="1" applyAlignment="1">
      <alignment horizontal="center" vertical="center"/>
    </xf>
    <xf numFmtId="0" fontId="24" fillId="0" borderId="16" xfId="0" applyNumberFormat="1" applyFont="1" applyBorder="1" applyAlignment="1">
      <alignment horizontal="center" vertical="center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17" xfId="0" applyNumberFormat="1" applyFont="1" applyBorder="1" applyAlignment="1">
      <alignment horizontal="center" vertical="center"/>
    </xf>
    <xf numFmtId="0" fontId="24" fillId="0" borderId="19" xfId="0" applyNumberFormat="1" applyFont="1" applyBorder="1" applyAlignment="1">
      <alignment horizontal="center" vertical="center"/>
    </xf>
    <xf numFmtId="0" fontId="24" fillId="0" borderId="20" xfId="0" applyNumberFormat="1" applyFont="1" applyBorder="1" applyAlignment="1">
      <alignment horizontal="center" vertical="center"/>
    </xf>
    <xf numFmtId="0" fontId="24" fillId="0" borderId="22" xfId="0" applyNumberFormat="1" applyFont="1" applyBorder="1" applyAlignment="1">
      <alignment horizontal="center" vertical="center"/>
    </xf>
    <xf numFmtId="0" fontId="24" fillId="0" borderId="22" xfId="0" applyNumberFormat="1" applyFont="1" applyBorder="1" applyAlignment="1">
      <alignment horizontal="center" vertical="center" wrapText="1"/>
    </xf>
    <xf numFmtId="0" fontId="24" fillId="0" borderId="23" xfId="0" applyNumberFormat="1" applyFont="1" applyBorder="1" applyAlignment="1">
      <alignment horizontal="center" vertical="center"/>
    </xf>
    <xf numFmtId="0" fontId="24" fillId="0" borderId="0" xfId="0" applyNumberFormat="1" applyFont="1" applyAlignment="1">
      <alignment horizontal="center" vertical="center" wrapText="1"/>
    </xf>
    <xf numFmtId="0" fontId="25" fillId="0" borderId="0" xfId="0" applyFont="1" applyBorder="1"/>
    <xf numFmtId="18" fontId="25" fillId="0" borderId="0" xfId="0" applyNumberFormat="1" applyFont="1" applyBorder="1"/>
    <xf numFmtId="1" fontId="6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1" applyNumberFormat="1" applyFont="1" applyFill="1" applyBorder="1" applyAlignment="1">
      <alignment horizontal="left"/>
    </xf>
    <xf numFmtId="43" fontId="0" fillId="0" borderId="14" xfId="1" applyFont="1" applyBorder="1"/>
    <xf numFmtId="43" fontId="0" fillId="0" borderId="0" xfId="1" applyFont="1" applyFill="1"/>
    <xf numFmtId="0" fontId="14" fillId="0" borderId="0" xfId="0" applyFont="1" applyAlignment="1" applyProtection="1">
      <alignment horizontal="left" vertical="center"/>
    </xf>
    <xf numFmtId="49" fontId="14" fillId="0" borderId="0" xfId="0" applyNumberFormat="1" applyFont="1" applyAlignment="1" applyProtection="1">
      <alignment horizontal="left" vertical="center"/>
    </xf>
    <xf numFmtId="0" fontId="15" fillId="17" borderId="8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7" fontId="14" fillId="0" borderId="0" xfId="0" applyNumberFormat="1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1" xfId="3" applyFont="1" applyFill="1" applyBorder="1" applyAlignment="1" applyProtection="1">
      <alignment horizontal="left" vertical="center"/>
      <protection locked="0"/>
    </xf>
    <xf numFmtId="4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" fontId="7" fillId="21" borderId="0" xfId="0" applyNumberFormat="1" applyFont="1" applyFill="1" applyAlignment="1" applyProtection="1">
      <alignment horizontal="center" vertical="center"/>
    </xf>
    <xf numFmtId="0" fontId="6" fillId="12" borderId="1" xfId="0" applyFont="1" applyFill="1" applyBorder="1" applyAlignment="1" applyProtection="1">
      <protection locked="0"/>
    </xf>
    <xf numFmtId="43" fontId="0" fillId="0" borderId="0" xfId="1" applyFont="1" applyBorder="1"/>
    <xf numFmtId="0" fontId="0" fillId="0" borderId="0" xfId="0" applyBorder="1"/>
    <xf numFmtId="0" fontId="0" fillId="0" borderId="0" xfId="0" applyFont="1" applyAlignment="1">
      <alignment horizontal="right" indent="1" shrinkToFit="1"/>
    </xf>
    <xf numFmtId="0" fontId="14" fillId="0" borderId="1" xfId="0" applyFont="1" applyFill="1" applyBorder="1"/>
    <xf numFmtId="49" fontId="14" fillId="0" borderId="1" xfId="0" applyNumberFormat="1" applyFont="1" applyBorder="1"/>
    <xf numFmtId="0" fontId="14" fillId="0" borderId="1" xfId="0" applyFont="1" applyBorder="1"/>
    <xf numFmtId="49" fontId="33" fillId="12" borderId="1" xfId="0" applyNumberFormat="1" applyFont="1" applyFill="1" applyBorder="1"/>
    <xf numFmtId="4" fontId="9" fillId="10" borderId="0" xfId="0" applyNumberFormat="1" applyFont="1" applyFill="1" applyBorder="1" applyAlignment="1" applyProtection="1">
      <alignment horizontal="center" vertical="center"/>
      <protection locked="0"/>
    </xf>
    <xf numFmtId="4" fontId="19" fillId="7" borderId="0" xfId="0" applyNumberFormat="1" applyFont="1" applyFill="1" applyBorder="1" applyAlignment="1" applyProtection="1">
      <alignment horizontal="center" vertical="center"/>
      <protection locked="0"/>
    </xf>
    <xf numFmtId="44" fontId="6" fillId="11" borderId="0" xfId="2" applyFont="1" applyFill="1" applyBorder="1" applyAlignment="1" applyProtection="1">
      <alignment horizontal="center" vertical="center"/>
      <protection locked="0"/>
    </xf>
    <xf numFmtId="43" fontId="11" fillId="17" borderId="1" xfId="1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 applyProtection="1">
      <alignment horizontal="left" vertical="center"/>
    </xf>
    <xf numFmtId="0" fontId="6" fillId="0" borderId="24" xfId="0" applyFont="1" applyFill="1" applyBorder="1" applyAlignment="1" applyProtection="1">
      <alignment horizontal="left" vertical="center"/>
      <protection locked="0"/>
    </xf>
    <xf numFmtId="0" fontId="7" fillId="0" borderId="24" xfId="0" applyFont="1" applyFill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left" vertical="center"/>
      <protection locked="0"/>
    </xf>
    <xf numFmtId="0" fontId="15" fillId="0" borderId="0" xfId="0" applyFont="1" applyFill="1" applyBorder="1" applyAlignment="1" applyProtection="1">
      <alignment horizontal="left" vertical="center"/>
    </xf>
    <xf numFmtId="1" fontId="7" fillId="0" borderId="0" xfId="0" applyNumberFormat="1" applyFont="1" applyFill="1" applyBorder="1" applyAlignment="1" applyProtection="1">
      <alignment horizontal="center" vertical="center"/>
    </xf>
    <xf numFmtId="164" fontId="6" fillId="0" borderId="24" xfId="0" applyNumberFormat="1" applyFont="1" applyFill="1" applyBorder="1" applyAlignment="1" applyProtection="1">
      <alignment horizontal="center" vertical="center"/>
      <protection locked="0"/>
    </xf>
    <xf numFmtId="164" fontId="7" fillId="0" borderId="24" xfId="0" applyNumberFormat="1" applyFont="1" applyFill="1" applyBorder="1" applyAlignment="1" applyProtection="1">
      <alignment horizontal="center" vertical="center"/>
    </xf>
    <xf numFmtId="164" fontId="6" fillId="0" borderId="25" xfId="0" applyNumberFormat="1" applyFont="1" applyBorder="1" applyAlignment="1" applyProtection="1">
      <alignment horizontal="center" vertical="center"/>
      <protection locked="0"/>
    </xf>
    <xf numFmtId="43" fontId="10" fillId="0" borderId="24" xfId="1" applyFont="1" applyFill="1" applyBorder="1" applyAlignment="1" applyProtection="1">
      <alignment horizontal="center" vertical="center"/>
    </xf>
    <xf numFmtId="1" fontId="6" fillId="0" borderId="24" xfId="0" applyNumberFormat="1" applyFont="1" applyFill="1" applyBorder="1" applyAlignment="1" applyProtection="1">
      <alignment horizontal="left" vertical="center"/>
      <protection locked="0"/>
    </xf>
    <xf numFmtId="37" fontId="7" fillId="0" borderId="24" xfId="1" applyNumberFormat="1" applyFont="1" applyFill="1" applyBorder="1" applyAlignment="1" applyProtection="1">
      <alignment horizontal="center" vertical="center"/>
    </xf>
    <xf numFmtId="1" fontId="6" fillId="0" borderId="25" xfId="0" applyNumberFormat="1" applyFont="1" applyBorder="1" applyAlignment="1" applyProtection="1">
      <alignment horizontal="left" vertical="center"/>
      <protection locked="0"/>
    </xf>
    <xf numFmtId="166" fontId="6" fillId="0" borderId="24" xfId="0" applyNumberFormat="1" applyFont="1" applyFill="1" applyBorder="1" applyAlignment="1" applyProtection="1">
      <alignment horizontal="center" vertical="center"/>
    </xf>
    <xf numFmtId="44" fontId="12" fillId="2" borderId="0" xfId="2" applyFont="1" applyFill="1" applyBorder="1" applyAlignment="1" applyProtection="1">
      <alignment horizontal="center" vertical="center"/>
    </xf>
    <xf numFmtId="43" fontId="10" fillId="0" borderId="0" xfId="1" applyFont="1" applyFill="1" applyBorder="1" applyAlignment="1" applyProtection="1">
      <alignment horizontal="center" vertical="center"/>
      <protection locked="0"/>
    </xf>
    <xf numFmtId="49" fontId="6" fillId="11" borderId="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Border="1" applyAlignment="1" applyProtection="1">
      <alignment horizontal="center" vertical="center"/>
    </xf>
    <xf numFmtId="0" fontId="19" fillId="7" borderId="0" xfId="0" applyFont="1" applyFill="1" applyBorder="1" applyAlignment="1" applyProtection="1">
      <alignment horizontal="center" vertical="center"/>
      <protection locked="0"/>
    </xf>
    <xf numFmtId="0" fontId="6" fillId="11" borderId="0" xfId="0" applyFont="1" applyFill="1" applyBorder="1" applyAlignment="1" applyProtection="1">
      <alignment horizontal="center" vertical="center"/>
      <protection locked="0"/>
    </xf>
    <xf numFmtId="4" fontId="9" fillId="10" borderId="0" xfId="0" applyNumberFormat="1" applyFont="1" applyFill="1" applyBorder="1" applyAlignment="1" applyProtection="1">
      <alignment horizontal="center" vertical="center"/>
    </xf>
    <xf numFmtId="0" fontId="19" fillId="7" borderId="0" xfId="0" applyFont="1" applyFill="1" applyBorder="1" applyAlignment="1" applyProtection="1">
      <alignment horizontal="center" vertical="center"/>
    </xf>
    <xf numFmtId="14" fontId="6" fillId="11" borderId="0" xfId="0" applyNumberFormat="1" applyFont="1" applyFill="1" applyBorder="1" applyAlignment="1" applyProtection="1">
      <alignment horizontal="center" vertical="center"/>
      <protection locked="0"/>
    </xf>
    <xf numFmtId="4" fontId="9" fillId="10" borderId="0" xfId="0" quotePrefix="1" applyNumberFormat="1" applyFont="1" applyFill="1" applyBorder="1" applyAlignment="1" applyProtection="1">
      <alignment horizontal="left" vertical="center"/>
    </xf>
    <xf numFmtId="14" fontId="19" fillId="7" borderId="0" xfId="0" applyNumberFormat="1" applyFont="1" applyFill="1" applyBorder="1" applyAlignment="1" applyProtection="1">
      <alignment horizontal="center" vertical="center"/>
    </xf>
    <xf numFmtId="14" fontId="8" fillId="11" borderId="0" xfId="0" applyNumberFormat="1" applyFont="1" applyFill="1" applyBorder="1" applyAlignment="1" applyProtection="1">
      <alignment horizontal="center" vertical="center"/>
      <protection locked="0"/>
    </xf>
    <xf numFmtId="168" fontId="6" fillId="11" borderId="0" xfId="0" applyNumberFormat="1" applyFont="1" applyFill="1" applyBorder="1" applyAlignment="1" applyProtection="1">
      <alignment horizontal="center" vertical="center"/>
      <protection locked="0"/>
    </xf>
    <xf numFmtId="0" fontId="9" fillId="10" borderId="0" xfId="0" applyFont="1" applyFill="1" applyBorder="1" applyAlignment="1" applyProtection="1">
      <alignment horizontal="left" vertical="center"/>
      <protection locked="0"/>
    </xf>
    <xf numFmtId="4" fontId="19" fillId="7" borderId="0" xfId="0" applyNumberFormat="1" applyFont="1" applyFill="1" applyBorder="1" applyAlignment="1" applyProtection="1">
      <alignment horizontal="center" vertical="center"/>
    </xf>
    <xf numFmtId="43" fontId="17" fillId="0" borderId="0" xfId="1" applyFont="1" applyFill="1" applyBorder="1" applyAlignment="1" applyProtection="1">
      <alignment horizontal="center" vertical="center"/>
      <protection locked="0"/>
    </xf>
    <xf numFmtId="44" fontId="6" fillId="11" borderId="24" xfId="2" applyFont="1" applyFill="1" applyBorder="1" applyAlignment="1" applyProtection="1">
      <alignment horizontal="center" vertical="center"/>
      <protection locked="0"/>
    </xf>
    <xf numFmtId="43" fontId="17" fillId="0" borderId="24" xfId="1" applyFont="1" applyFill="1" applyBorder="1" applyAlignment="1" applyProtection="1">
      <alignment horizontal="center" vertical="center"/>
      <protection locked="0"/>
    </xf>
    <xf numFmtId="4" fontId="6" fillId="0" borderId="24" xfId="0" applyNumberFormat="1" applyFont="1" applyFill="1" applyBorder="1" applyAlignment="1" applyProtection="1">
      <alignment horizontal="center" vertical="center"/>
      <protection locked="0"/>
    </xf>
    <xf numFmtId="4" fontId="19" fillId="7" borderId="24" xfId="0" applyNumberFormat="1" applyFont="1" applyFill="1" applyBorder="1" applyAlignment="1" applyProtection="1">
      <alignment horizontal="center" vertical="center"/>
      <protection locked="0"/>
    </xf>
    <xf numFmtId="4" fontId="7" fillId="0" borderId="24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" fontId="6" fillId="7" borderId="0" xfId="0" applyNumberFormat="1" applyFont="1" applyFill="1" applyBorder="1" applyAlignment="1" applyProtection="1">
      <alignment horizontal="center" vertical="center"/>
    </xf>
    <xf numFmtId="1" fontId="6" fillId="7" borderId="0" xfId="0" applyNumberFormat="1" applyFont="1" applyFill="1" applyBorder="1" applyAlignment="1" applyProtection="1">
      <alignment horizontal="center" vertical="center"/>
      <protection locked="0"/>
    </xf>
    <xf numFmtId="0" fontId="7" fillId="8" borderId="0" xfId="0" applyFont="1" applyFill="1" applyBorder="1" applyAlignment="1" applyProtection="1">
      <alignment horizontal="left" vertical="center"/>
      <protection locked="0"/>
    </xf>
    <xf numFmtId="0" fontId="6" fillId="8" borderId="0" xfId="0" applyFont="1" applyFill="1" applyBorder="1" applyAlignment="1" applyProtection="1">
      <alignment horizontal="left" vertical="center"/>
      <protection locked="0"/>
    </xf>
    <xf numFmtId="0" fontId="6" fillId="8" borderId="0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 wrapText="1"/>
    </xf>
    <xf numFmtId="1" fontId="7" fillId="0" borderId="0" xfId="0" applyNumberFormat="1" applyFont="1" applyFill="1" applyBorder="1" applyAlignment="1" applyProtection="1">
      <alignment horizontal="center" vertical="center" wrapText="1"/>
    </xf>
    <xf numFmtId="1" fontId="12" fillId="2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/>
      <protection locked="0"/>
    </xf>
    <xf numFmtId="4" fontId="6" fillId="0" borderId="0" xfId="0" applyNumberFormat="1" applyFont="1" applyFill="1" applyBorder="1" applyAlignment="1" applyProtection="1">
      <alignment horizontal="center" vertical="center"/>
      <protection locked="0"/>
    </xf>
    <xf numFmtId="43" fontId="21" fillId="21" borderId="1" xfId="1" applyFont="1" applyFill="1" applyBorder="1" applyAlignment="1" applyProtection="1">
      <alignment horizontal="center" vertical="center"/>
      <protection locked="0"/>
    </xf>
    <xf numFmtId="4" fontId="14" fillId="0" borderId="5" xfId="0" applyNumberFormat="1" applyFont="1" applyFill="1" applyBorder="1" applyAlignment="1" applyProtection="1">
      <alignment horizontal="center" vertical="center"/>
      <protection locked="0"/>
    </xf>
    <xf numFmtId="44" fontId="14" fillId="11" borderId="5" xfId="2" applyFont="1" applyFill="1" applyBorder="1" applyAlignment="1" applyProtection="1">
      <alignment horizontal="center" vertical="center"/>
      <protection locked="0"/>
    </xf>
    <xf numFmtId="44" fontId="12" fillId="2" borderId="5" xfId="2" applyFont="1" applyFill="1" applyBorder="1" applyAlignment="1" applyProtection="1">
      <alignment horizontal="center" vertical="center"/>
      <protection locked="0"/>
    </xf>
    <xf numFmtId="4" fontId="12" fillId="10" borderId="5" xfId="0" applyNumberFormat="1" applyFont="1" applyFill="1" applyBorder="1" applyAlignment="1" applyProtection="1">
      <alignment horizontal="center" vertical="center"/>
      <protection locked="0"/>
    </xf>
    <xf numFmtId="4" fontId="20" fillId="7" borderId="5" xfId="0" applyNumberFormat="1" applyFont="1" applyFill="1" applyBorder="1" applyAlignment="1" applyProtection="1">
      <alignment horizontal="center" vertical="center"/>
      <protection locked="0"/>
    </xf>
    <xf numFmtId="44" fontId="6" fillId="11" borderId="5" xfId="2" applyFont="1" applyFill="1" applyBorder="1" applyAlignment="1" applyProtection="1">
      <alignment horizontal="center" vertical="center"/>
      <protection locked="0"/>
    </xf>
    <xf numFmtId="4" fontId="15" fillId="0" borderId="5" xfId="0" applyNumberFormat="1" applyFont="1" applyFill="1" applyBorder="1" applyAlignment="1" applyProtection="1">
      <alignment horizontal="center" vertical="center"/>
      <protection locked="0"/>
    </xf>
    <xf numFmtId="43" fontId="8" fillId="21" borderId="1" xfId="1" applyFont="1" applyFill="1" applyBorder="1" applyAlignment="1" applyProtection="1">
      <alignment horizontal="center" vertical="center"/>
    </xf>
    <xf numFmtId="43" fontId="11" fillId="0" borderId="1" xfId="1" applyFont="1" applyFill="1" applyBorder="1" applyAlignment="1" applyProtection="1">
      <alignment horizontal="center" vertical="center"/>
    </xf>
    <xf numFmtId="43" fontId="8" fillId="0" borderId="1" xfId="1" applyFont="1" applyFill="1" applyBorder="1" applyAlignment="1" applyProtection="1">
      <alignment horizontal="center" vertical="center"/>
    </xf>
    <xf numFmtId="43" fontId="15" fillId="21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28" fillId="0" borderId="0" xfId="0" applyFont="1"/>
    <xf numFmtId="0" fontId="6" fillId="0" borderId="0" xfId="0" applyFont="1" applyBorder="1" applyAlignment="1" applyProtection="1">
      <alignment horizontal="left" vertical="center" wrapText="1"/>
    </xf>
    <xf numFmtId="4" fontId="6" fillId="0" borderId="0" xfId="0" applyNumberFormat="1" applyFont="1" applyAlignment="1" applyProtection="1">
      <alignment horizontal="left" vertical="center"/>
    </xf>
    <xf numFmtId="4" fontId="10" fillId="17" borderId="8" xfId="0" applyNumberFormat="1" applyFont="1" applyFill="1" applyBorder="1" applyAlignment="1" applyProtection="1">
      <alignment horizontal="left" vertical="center" wrapText="1"/>
    </xf>
    <xf numFmtId="44" fontId="12" fillId="2" borderId="0" xfId="2" applyFont="1" applyFill="1" applyBorder="1" applyAlignment="1" applyProtection="1">
      <alignment horizontal="left" vertical="center"/>
    </xf>
    <xf numFmtId="43" fontId="17" fillId="0" borderId="0" xfId="1" applyFont="1" applyFill="1" applyBorder="1" applyAlignment="1" applyProtection="1">
      <alignment horizontal="left" vertical="center"/>
      <protection locked="0"/>
    </xf>
    <xf numFmtId="4" fontId="7" fillId="0" borderId="0" xfId="0" applyNumberFormat="1" applyFont="1" applyFill="1" applyBorder="1" applyAlignment="1" applyProtection="1">
      <alignment horizontal="left" vertical="center"/>
      <protection locked="0"/>
    </xf>
    <xf numFmtId="4" fontId="6" fillId="0" borderId="0" xfId="0" applyNumberFormat="1" applyFont="1" applyFill="1" applyBorder="1" applyAlignment="1" applyProtection="1">
      <alignment horizontal="left" vertical="center"/>
      <protection locked="0"/>
    </xf>
    <xf numFmtId="4" fontId="9" fillId="10" borderId="0" xfId="0" applyNumberFormat="1" applyFont="1" applyFill="1" applyBorder="1" applyAlignment="1" applyProtection="1">
      <alignment horizontal="left" vertical="center"/>
      <protection locked="0"/>
    </xf>
    <xf numFmtId="4" fontId="19" fillId="7" borderId="0" xfId="0" applyNumberFormat="1" applyFont="1" applyFill="1" applyBorder="1" applyAlignment="1" applyProtection="1">
      <alignment horizontal="left" vertical="center"/>
      <protection locked="0"/>
    </xf>
    <xf numFmtId="44" fontId="6" fillId="11" borderId="0" xfId="2" applyFont="1" applyFill="1" applyBorder="1" applyAlignment="1" applyProtection="1">
      <alignment horizontal="left" vertical="center"/>
      <protection locked="0"/>
    </xf>
    <xf numFmtId="43" fontId="0" fillId="0" borderId="10" xfId="0" applyNumberFormat="1" applyBorder="1"/>
    <xf numFmtId="0" fontId="0" fillId="0" borderId="10" xfId="0" applyBorder="1"/>
    <xf numFmtId="43" fontId="14" fillId="0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43" fontId="8" fillId="0" borderId="1" xfId="1" applyFont="1" applyFill="1" applyBorder="1" applyAlignment="1" applyProtection="1">
      <alignment horizontal="left" vertical="center"/>
    </xf>
    <xf numFmtId="0" fontId="14" fillId="13" borderId="1" xfId="3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49" fontId="14" fillId="0" borderId="1" xfId="0" applyNumberFormat="1" applyFont="1" applyFill="1" applyBorder="1"/>
    <xf numFmtId="43" fontId="8" fillId="17" borderId="1" xfId="1" applyFont="1" applyFill="1" applyBorder="1" applyAlignment="1" applyProtection="1">
      <alignment horizontal="center" vertical="center"/>
    </xf>
    <xf numFmtId="49" fontId="6" fillId="12" borderId="1" xfId="0" applyNumberFormat="1" applyFont="1" applyFill="1" applyBorder="1"/>
    <xf numFmtId="0" fontId="6" fillId="0" borderId="1" xfId="0" applyFont="1" applyBorder="1"/>
    <xf numFmtId="49" fontId="6" fillId="0" borderId="1" xfId="0" applyNumberFormat="1" applyFont="1" applyBorder="1"/>
    <xf numFmtId="0" fontId="12" fillId="2" borderId="26" xfId="0" applyFont="1" applyFill="1" applyBorder="1" applyAlignment="1" applyProtection="1">
      <alignment horizontal="left" vertical="center"/>
    </xf>
    <xf numFmtId="0" fontId="12" fillId="2" borderId="26" xfId="0" applyFont="1" applyFill="1" applyBorder="1" applyAlignment="1" applyProtection="1">
      <alignment horizontal="center" vertical="center"/>
    </xf>
    <xf numFmtId="2" fontId="12" fillId="2" borderId="26" xfId="0" applyNumberFormat="1" applyFont="1" applyFill="1" applyBorder="1" applyAlignment="1" applyProtection="1">
      <alignment horizontal="right" vertical="center"/>
    </xf>
    <xf numFmtId="44" fontId="12" fillId="2" borderId="26" xfId="2" applyFont="1" applyFill="1" applyBorder="1" applyAlignment="1" applyProtection="1">
      <alignment horizontal="center" vertical="center"/>
    </xf>
    <xf numFmtId="0" fontId="6" fillId="0" borderId="1" xfId="0" applyFont="1" applyFill="1" applyBorder="1"/>
    <xf numFmtId="167" fontId="6" fillId="17" borderId="1" xfId="1" applyNumberFormat="1" applyFont="1" applyFill="1" applyBorder="1" applyAlignment="1" applyProtection="1">
      <alignment horizontal="center" vertical="center"/>
    </xf>
    <xf numFmtId="43" fontId="8" fillId="21" borderId="1" xfId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/>
      <protection locked="0"/>
    </xf>
    <xf numFmtId="1" fontId="6" fillId="0" borderId="1" xfId="0" applyNumberFormat="1" applyFont="1" applyFill="1" applyBorder="1" applyAlignment="1" applyProtection="1">
      <alignment horizontal="left" vertical="center"/>
      <protection locked="0"/>
    </xf>
    <xf numFmtId="49" fontId="33" fillId="21" borderId="1" xfId="0" applyNumberFormat="1" applyFont="1" applyFill="1" applyBorder="1" applyAlignment="1">
      <alignment horizontal="left"/>
    </xf>
    <xf numFmtId="0" fontId="6" fillId="21" borderId="1" xfId="0" applyFont="1" applyFill="1" applyBorder="1"/>
    <xf numFmtId="0" fontId="6" fillId="0" borderId="1" xfId="0" applyFont="1" applyBorder="1" applyAlignment="1" applyProtection="1">
      <alignment horizontal="center" vertical="center" wrapText="1"/>
      <protection locked="0"/>
    </xf>
    <xf numFmtId="49" fontId="33" fillId="0" borderId="1" xfId="0" applyNumberFormat="1" applyFont="1" applyFill="1" applyBorder="1" applyAlignment="1">
      <alignment horizontal="left"/>
    </xf>
    <xf numFmtId="49" fontId="33" fillId="0" borderId="1" xfId="0" applyNumberFormat="1" applyFont="1" applyFill="1" applyBorder="1"/>
    <xf numFmtId="43" fontId="8" fillId="17" borderId="1" xfId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protection locked="0"/>
    </xf>
    <xf numFmtId="167" fontId="6" fillId="0" borderId="1" xfId="1" applyNumberFormat="1" applyFont="1" applyFill="1" applyBorder="1" applyAlignment="1" applyProtection="1">
      <alignment horizontal="center" vertical="center"/>
    </xf>
    <xf numFmtId="43" fontId="11" fillId="0" borderId="1" xfId="1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wrapText="1"/>
      <protection locked="0"/>
    </xf>
    <xf numFmtId="4" fontId="14" fillId="0" borderId="0" xfId="0" applyNumberFormat="1" applyFont="1" applyFill="1" applyBorder="1" applyAlignment="1" applyProtection="1">
      <alignment horizontal="center" vertical="center"/>
      <protection locked="0"/>
    </xf>
    <xf numFmtId="43" fontId="6" fillId="0" borderId="0" xfId="1" applyFont="1" applyFill="1" applyAlignment="1" applyProtection="1">
      <alignment horizontal="center" vertical="center"/>
      <protection locked="0"/>
    </xf>
    <xf numFmtId="0" fontId="28" fillId="0" borderId="0" xfId="0" applyFont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 applyProtection="1">
      <alignment horizontal="center" vertical="center" wrapText="1"/>
    </xf>
    <xf numFmtId="49" fontId="7" fillId="3" borderId="3" xfId="0" applyNumberFormat="1" applyFont="1" applyFill="1" applyBorder="1" applyAlignment="1" applyProtection="1">
      <alignment horizontal="center" vertical="center" wrapText="1"/>
    </xf>
    <xf numFmtId="164" fontId="17" fillId="21" borderId="0" xfId="0" applyNumberFormat="1" applyFont="1" applyFill="1" applyAlignment="1" applyProtection="1">
      <alignment horizontal="center" vertical="center"/>
    </xf>
    <xf numFmtId="0" fontId="5" fillId="0" borderId="0" xfId="1" applyNumberFormat="1" applyFont="1" applyAlignment="1">
      <alignment horizontal="center" wrapText="1" shrinkToFi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" fontId="3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0" fillId="23" borderId="0" xfId="0" applyFill="1"/>
    <xf numFmtId="43" fontId="0" fillId="23" borderId="0" xfId="1" applyFont="1" applyFill="1"/>
    <xf numFmtId="43" fontId="0" fillId="23" borderId="0" xfId="1" applyFont="1" applyFill="1" applyBorder="1"/>
    <xf numFmtId="0" fontId="0" fillId="23" borderId="0" xfId="0" applyFill="1" applyBorder="1"/>
    <xf numFmtId="43" fontId="0" fillId="23" borderId="0" xfId="0" applyNumberFormat="1" applyFill="1"/>
    <xf numFmtId="43" fontId="0" fillId="23" borderId="0" xfId="0" applyNumberFormat="1" applyFill="1" applyBorder="1"/>
    <xf numFmtId="43" fontId="6" fillId="0" borderId="27" xfId="1" applyFont="1" applyFill="1" applyBorder="1" applyAlignment="1" applyProtection="1">
      <alignment horizontal="center" vertical="center"/>
      <protection locked="0"/>
    </xf>
    <xf numFmtId="43" fontId="6" fillId="0" borderId="0" xfId="1" applyFont="1" applyAlignment="1" applyProtection="1">
      <alignment horizontal="center" vertical="center"/>
      <protection locked="0"/>
    </xf>
    <xf numFmtId="43" fontId="6" fillId="0" borderId="14" xfId="1" applyFont="1" applyBorder="1" applyAlignment="1" applyProtection="1">
      <alignment horizontal="center" vertical="center"/>
      <protection locked="0"/>
    </xf>
    <xf numFmtId="4" fontId="6" fillId="0" borderId="24" xfId="0" applyNumberFormat="1" applyFont="1" applyFill="1" applyBorder="1" applyAlignment="1" applyProtection="1">
      <alignment horizontal="left" vertical="center"/>
      <protection locked="0"/>
    </xf>
    <xf numFmtId="4" fontId="6" fillId="0" borderId="25" xfId="0" applyNumberFormat="1" applyFont="1" applyFill="1" applyBorder="1" applyAlignment="1" applyProtection="1">
      <alignment horizontal="left" vertical="center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3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00FFFF"/>
      <color rgb="FFFDC4B5"/>
      <color rgb="FFCCFF33"/>
      <color rgb="FFFF00FF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63126</xdr:rowOff>
    </xdr:from>
    <xdr:to>
      <xdr:col>4</xdr:col>
      <xdr:colOff>366059</xdr:colOff>
      <xdr:row>6</xdr:row>
      <xdr:rowOff>78069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162550" y="929901"/>
          <a:ext cx="366059" cy="14943"/>
        </a:xfrm>
        <a:prstGeom prst="straightConnector1">
          <a:avLst/>
        </a:prstGeom>
        <a:ln>
          <a:solidFill>
            <a:srgbClr val="FF0000"/>
          </a:solidFill>
          <a:headEnd type="arrow"/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49C9-F2BE-4E87-81F7-03798CD50AB0}">
  <dimension ref="A1:S23"/>
  <sheetViews>
    <sheetView topLeftCell="B1" workbookViewId="0">
      <selection activeCell="F23" sqref="F23"/>
    </sheetView>
  </sheetViews>
  <sheetFormatPr defaultRowHeight="14.4" x14ac:dyDescent="0.3"/>
  <cols>
    <col min="1" max="1" width="7" customWidth="1"/>
    <col min="2" max="2" width="15.77734375" bestFit="1" customWidth="1"/>
    <col min="3" max="3" width="11.6640625" bestFit="1" customWidth="1"/>
    <col min="4" max="4" width="12" bestFit="1" customWidth="1"/>
    <col min="6" max="6" width="13.109375" bestFit="1" customWidth="1"/>
    <col min="7" max="7" width="6.6640625" bestFit="1" customWidth="1"/>
    <col min="8" max="8" width="15.77734375" bestFit="1" customWidth="1"/>
    <col min="9" max="9" width="2.33203125" customWidth="1"/>
    <col min="10" max="10" width="9.6640625" bestFit="1" customWidth="1"/>
    <col min="11" max="11" width="49.44140625" bestFit="1" customWidth="1"/>
    <col min="13" max="13" width="16.44140625" bestFit="1" customWidth="1"/>
  </cols>
  <sheetData>
    <row r="1" spans="1:19" x14ac:dyDescent="0.3">
      <c r="A1" s="256" t="s">
        <v>573</v>
      </c>
    </row>
    <row r="2" spans="1:19" x14ac:dyDescent="0.3">
      <c r="C2" s="300" t="s">
        <v>558</v>
      </c>
      <c r="D2" s="300"/>
      <c r="F2" s="300" t="s">
        <v>559</v>
      </c>
      <c r="G2" s="300"/>
      <c r="H2" s="300"/>
      <c r="I2" s="119"/>
    </row>
    <row r="3" spans="1:19" x14ac:dyDescent="0.3">
      <c r="B3" s="255" t="s">
        <v>0</v>
      </c>
      <c r="C3" s="255" t="s">
        <v>553</v>
      </c>
      <c r="D3" s="255" t="s">
        <v>554</v>
      </c>
      <c r="E3" s="255"/>
      <c r="F3" s="255" t="s">
        <v>562</v>
      </c>
      <c r="G3" s="255" t="s">
        <v>168</v>
      </c>
      <c r="H3" s="255" t="s">
        <v>555</v>
      </c>
      <c r="I3" s="255"/>
      <c r="J3" s="255" t="s">
        <v>556</v>
      </c>
      <c r="K3" s="255" t="s">
        <v>557</v>
      </c>
    </row>
    <row r="4" spans="1:19" x14ac:dyDescent="0.3">
      <c r="B4" t="s">
        <v>409</v>
      </c>
      <c r="C4" s="115">
        <v>160</v>
      </c>
      <c r="D4" s="115">
        <v>160</v>
      </c>
      <c r="F4" s="183"/>
      <c r="G4" s="184"/>
      <c r="J4" s="137">
        <f t="shared" ref="J4:J20" si="0">+F4-D4</f>
        <v>-160</v>
      </c>
      <c r="K4" t="s">
        <v>569</v>
      </c>
      <c r="M4" t="s">
        <v>409</v>
      </c>
      <c r="Q4">
        <v>160</v>
      </c>
      <c r="S4" s="137">
        <f>+J4+Q4</f>
        <v>0</v>
      </c>
    </row>
    <row r="5" spans="1:19" s="313" customFormat="1" x14ac:dyDescent="0.3">
      <c r="B5" s="313" t="s">
        <v>259</v>
      </c>
      <c r="C5" s="314">
        <v>125</v>
      </c>
      <c r="D5" s="314">
        <v>125</v>
      </c>
      <c r="F5" s="315">
        <v>280</v>
      </c>
      <c r="G5" s="316">
        <v>8.42</v>
      </c>
      <c r="H5" s="313" t="s">
        <v>259</v>
      </c>
      <c r="J5" s="317">
        <f t="shared" ref="J5" si="1">+F5-D5</f>
        <v>155</v>
      </c>
      <c r="K5" s="313" t="s">
        <v>565</v>
      </c>
      <c r="M5" s="313" t="s">
        <v>259</v>
      </c>
      <c r="N5" s="313" t="s">
        <v>545</v>
      </c>
      <c r="O5" s="313">
        <v>280</v>
      </c>
      <c r="P5" s="313">
        <v>8.42</v>
      </c>
      <c r="Q5" s="313">
        <v>-155</v>
      </c>
      <c r="R5" s="313" t="s">
        <v>259</v>
      </c>
      <c r="S5" s="317">
        <f t="shared" ref="S5" si="2">+J5+Q5</f>
        <v>0</v>
      </c>
    </row>
    <row r="6" spans="1:19" s="313" customFormat="1" x14ac:dyDescent="0.3">
      <c r="B6" s="313" t="s">
        <v>473</v>
      </c>
      <c r="C6" s="314">
        <v>125</v>
      </c>
      <c r="D6" s="314">
        <v>125</v>
      </c>
      <c r="F6" s="315"/>
      <c r="G6" s="316"/>
      <c r="H6" s="313" t="s">
        <v>259</v>
      </c>
      <c r="J6" s="317">
        <f>+F6-D6</f>
        <v>-125</v>
      </c>
      <c r="K6" s="313" t="s">
        <v>565</v>
      </c>
      <c r="M6" s="313" t="s">
        <v>473</v>
      </c>
      <c r="Q6" s="313">
        <v>125</v>
      </c>
      <c r="S6" s="317">
        <f>+J6+Q6</f>
        <v>0</v>
      </c>
    </row>
    <row r="7" spans="1:19" s="313" customFormat="1" x14ac:dyDescent="0.3">
      <c r="B7" s="313" t="s">
        <v>474</v>
      </c>
      <c r="C7" s="315">
        <v>50</v>
      </c>
      <c r="D7" s="315">
        <v>50</v>
      </c>
      <c r="F7" s="318"/>
      <c r="G7" s="316"/>
      <c r="H7" s="313" t="s">
        <v>259</v>
      </c>
      <c r="J7" s="317">
        <f>+F7-D7</f>
        <v>-50</v>
      </c>
      <c r="K7" s="313" t="s">
        <v>565</v>
      </c>
      <c r="M7" s="313" t="s">
        <v>474</v>
      </c>
      <c r="Q7" s="313">
        <v>50</v>
      </c>
      <c r="S7" s="317">
        <f>+J7+Q7</f>
        <v>0</v>
      </c>
    </row>
    <row r="8" spans="1:19" x14ac:dyDescent="0.3">
      <c r="B8" t="s">
        <v>289</v>
      </c>
      <c r="C8" s="115">
        <v>125</v>
      </c>
      <c r="D8" s="115">
        <v>125</v>
      </c>
      <c r="F8" s="183"/>
      <c r="G8" s="184"/>
      <c r="J8" s="137">
        <f t="shared" si="0"/>
        <v>-125</v>
      </c>
      <c r="K8" t="s">
        <v>572</v>
      </c>
      <c r="M8" t="s">
        <v>289</v>
      </c>
      <c r="Q8">
        <v>125</v>
      </c>
      <c r="S8" s="137">
        <f t="shared" ref="S8:S20" si="3">+J8+Q8</f>
        <v>0</v>
      </c>
    </row>
    <row r="9" spans="1:19" x14ac:dyDescent="0.3">
      <c r="B9" t="s">
        <v>244</v>
      </c>
      <c r="C9" s="115">
        <v>160</v>
      </c>
      <c r="D9" s="115">
        <v>160</v>
      </c>
      <c r="F9" s="183">
        <v>125</v>
      </c>
      <c r="G9" s="184">
        <v>3.93</v>
      </c>
      <c r="H9" t="s">
        <v>244</v>
      </c>
      <c r="J9" s="137">
        <f t="shared" si="0"/>
        <v>-35</v>
      </c>
      <c r="K9" t="s">
        <v>561</v>
      </c>
      <c r="M9" t="s">
        <v>244</v>
      </c>
      <c r="N9" t="s">
        <v>545</v>
      </c>
      <c r="O9">
        <v>125</v>
      </c>
      <c r="P9">
        <v>3.93</v>
      </c>
      <c r="Q9">
        <v>35</v>
      </c>
      <c r="R9" t="s">
        <v>244</v>
      </c>
      <c r="S9" s="137">
        <f t="shared" si="3"/>
        <v>0</v>
      </c>
    </row>
    <row r="10" spans="1:19" x14ac:dyDescent="0.3">
      <c r="B10" t="s">
        <v>275</v>
      </c>
      <c r="C10" s="115">
        <v>135</v>
      </c>
      <c r="D10" s="115">
        <v>135</v>
      </c>
      <c r="F10" s="183">
        <v>160</v>
      </c>
      <c r="G10" s="184">
        <v>11.66</v>
      </c>
      <c r="H10" t="s">
        <v>275</v>
      </c>
      <c r="J10" s="137">
        <f t="shared" si="0"/>
        <v>25</v>
      </c>
      <c r="K10" t="s">
        <v>564</v>
      </c>
      <c r="M10" t="s">
        <v>275</v>
      </c>
      <c r="N10" t="s">
        <v>545</v>
      </c>
      <c r="O10">
        <v>160</v>
      </c>
      <c r="P10">
        <v>11.66</v>
      </c>
      <c r="Q10">
        <v>-25</v>
      </c>
      <c r="R10" t="s">
        <v>275</v>
      </c>
      <c r="S10" s="137">
        <f t="shared" si="3"/>
        <v>0</v>
      </c>
    </row>
    <row r="11" spans="1:19" x14ac:dyDescent="0.3">
      <c r="B11" t="s">
        <v>268</v>
      </c>
      <c r="C11" s="115">
        <v>140</v>
      </c>
      <c r="D11" s="115">
        <v>140</v>
      </c>
      <c r="F11" s="183">
        <v>125</v>
      </c>
      <c r="G11" s="184">
        <v>4.8499999999999996</v>
      </c>
      <c r="H11" t="s">
        <v>268</v>
      </c>
      <c r="J11" s="137">
        <f t="shared" si="0"/>
        <v>-15</v>
      </c>
      <c r="K11" s="273" t="s">
        <v>567</v>
      </c>
      <c r="M11" t="s">
        <v>268</v>
      </c>
      <c r="N11" t="s">
        <v>545</v>
      </c>
      <c r="O11">
        <v>125</v>
      </c>
      <c r="P11">
        <v>4.8499999999999996</v>
      </c>
      <c r="Q11">
        <v>15</v>
      </c>
      <c r="R11" t="s">
        <v>268</v>
      </c>
      <c r="S11" s="137">
        <f t="shared" si="3"/>
        <v>0</v>
      </c>
    </row>
    <row r="12" spans="1:19" x14ac:dyDescent="0.3">
      <c r="B12" t="s">
        <v>340</v>
      </c>
      <c r="C12" s="115">
        <v>141</v>
      </c>
      <c r="D12" s="115">
        <v>141</v>
      </c>
      <c r="F12" s="183">
        <v>140</v>
      </c>
      <c r="G12" s="184">
        <v>10.26</v>
      </c>
      <c r="H12" t="s">
        <v>340</v>
      </c>
      <c r="J12" s="137">
        <f t="shared" si="0"/>
        <v>-1</v>
      </c>
      <c r="K12" t="s">
        <v>576</v>
      </c>
      <c r="M12" t="s">
        <v>340</v>
      </c>
      <c r="N12" t="s">
        <v>548</v>
      </c>
      <c r="O12">
        <v>140</v>
      </c>
      <c r="P12">
        <v>10.26</v>
      </c>
      <c r="Q12">
        <v>1</v>
      </c>
      <c r="R12" t="s">
        <v>340</v>
      </c>
      <c r="S12" s="137">
        <f t="shared" si="3"/>
        <v>0</v>
      </c>
    </row>
    <row r="13" spans="1:19" x14ac:dyDescent="0.3">
      <c r="B13" t="s">
        <v>273</v>
      </c>
      <c r="C13" s="115">
        <v>140</v>
      </c>
      <c r="D13" s="115">
        <v>140</v>
      </c>
      <c r="F13" s="183">
        <v>160</v>
      </c>
      <c r="G13" s="184">
        <v>6.07</v>
      </c>
      <c r="H13" t="s">
        <v>273</v>
      </c>
      <c r="J13" s="137">
        <f t="shared" si="0"/>
        <v>20</v>
      </c>
      <c r="K13" s="273" t="s">
        <v>568</v>
      </c>
      <c r="M13" t="s">
        <v>273</v>
      </c>
      <c r="N13" t="s">
        <v>548</v>
      </c>
      <c r="O13">
        <v>160</v>
      </c>
      <c r="P13">
        <v>6.07</v>
      </c>
      <c r="Q13">
        <v>-20</v>
      </c>
      <c r="R13" t="s">
        <v>273</v>
      </c>
      <c r="S13" s="137">
        <f t="shared" si="3"/>
        <v>0</v>
      </c>
    </row>
    <row r="14" spans="1:19" x14ac:dyDescent="0.3">
      <c r="B14" t="s">
        <v>310</v>
      </c>
      <c r="C14" s="115">
        <v>130</v>
      </c>
      <c r="D14" s="115">
        <v>130</v>
      </c>
      <c r="F14" s="183">
        <v>260</v>
      </c>
      <c r="G14" s="184">
        <v>15.09</v>
      </c>
      <c r="H14" t="s">
        <v>310</v>
      </c>
      <c r="J14" s="137">
        <f t="shared" si="0"/>
        <v>130</v>
      </c>
      <c r="K14" t="s">
        <v>563</v>
      </c>
      <c r="M14" t="s">
        <v>310</v>
      </c>
      <c r="N14" t="s">
        <v>548</v>
      </c>
      <c r="O14">
        <v>260</v>
      </c>
      <c r="P14">
        <v>15.09</v>
      </c>
      <c r="Q14">
        <v>-130</v>
      </c>
      <c r="R14" t="s">
        <v>310</v>
      </c>
      <c r="S14" s="137">
        <f t="shared" si="3"/>
        <v>0</v>
      </c>
    </row>
    <row r="15" spans="1:19" x14ac:dyDescent="0.3">
      <c r="B15" t="s">
        <v>419</v>
      </c>
      <c r="C15" s="115">
        <v>130</v>
      </c>
      <c r="D15" s="115">
        <v>130</v>
      </c>
      <c r="F15" s="183"/>
      <c r="G15" s="184"/>
      <c r="J15" s="137">
        <f t="shared" si="0"/>
        <v>-130</v>
      </c>
      <c r="K15" t="s">
        <v>572</v>
      </c>
      <c r="M15" t="s">
        <v>419</v>
      </c>
      <c r="Q15">
        <v>130</v>
      </c>
      <c r="S15" s="137">
        <f t="shared" si="3"/>
        <v>0</v>
      </c>
    </row>
    <row r="16" spans="1:19" x14ac:dyDescent="0.3">
      <c r="B16" t="s">
        <v>418</v>
      </c>
      <c r="C16" s="115">
        <v>130</v>
      </c>
      <c r="D16" s="115">
        <v>130</v>
      </c>
      <c r="F16" s="183"/>
      <c r="G16" s="184"/>
      <c r="J16" s="137">
        <f>+F16-D16</f>
        <v>-130</v>
      </c>
      <c r="K16" t="s">
        <v>572</v>
      </c>
      <c r="M16" t="s">
        <v>418</v>
      </c>
      <c r="Q16">
        <v>130</v>
      </c>
      <c r="S16" s="137">
        <f>+J16+Q16</f>
        <v>0</v>
      </c>
    </row>
    <row r="17" spans="2:19" x14ac:dyDescent="0.3">
      <c r="B17" t="s">
        <v>423</v>
      </c>
      <c r="C17" s="115">
        <v>160</v>
      </c>
      <c r="D17" s="115">
        <v>160</v>
      </c>
      <c r="F17" s="183">
        <v>320</v>
      </c>
      <c r="G17" s="184">
        <v>9.58</v>
      </c>
      <c r="H17" t="s">
        <v>423</v>
      </c>
      <c r="J17" s="137">
        <f t="shared" si="0"/>
        <v>160</v>
      </c>
      <c r="K17" t="s">
        <v>570</v>
      </c>
      <c r="M17" t="s">
        <v>423</v>
      </c>
      <c r="N17" t="s">
        <v>545</v>
      </c>
      <c r="O17">
        <v>320</v>
      </c>
      <c r="P17">
        <v>9.58</v>
      </c>
      <c r="Q17">
        <v>-160</v>
      </c>
      <c r="R17" t="s">
        <v>423</v>
      </c>
      <c r="S17" s="137">
        <f t="shared" si="3"/>
        <v>0</v>
      </c>
    </row>
    <row r="18" spans="2:19" x14ac:dyDescent="0.3">
      <c r="B18" t="s">
        <v>336</v>
      </c>
      <c r="C18" s="115">
        <v>100</v>
      </c>
      <c r="D18" s="115">
        <v>100</v>
      </c>
      <c r="F18" s="183">
        <v>101</v>
      </c>
      <c r="G18" s="184">
        <v>4.01</v>
      </c>
      <c r="H18" t="s">
        <v>336</v>
      </c>
      <c r="J18" s="137">
        <f t="shared" si="0"/>
        <v>1</v>
      </c>
      <c r="K18" t="s">
        <v>566</v>
      </c>
      <c r="M18" t="s">
        <v>336</v>
      </c>
      <c r="N18" t="s">
        <v>545</v>
      </c>
      <c r="O18">
        <v>101</v>
      </c>
      <c r="P18">
        <v>4.01</v>
      </c>
      <c r="Q18">
        <v>-1</v>
      </c>
      <c r="R18" t="s">
        <v>336</v>
      </c>
      <c r="S18" s="137">
        <f t="shared" si="3"/>
        <v>0</v>
      </c>
    </row>
    <row r="19" spans="2:19" x14ac:dyDescent="0.3">
      <c r="B19" t="s">
        <v>429</v>
      </c>
      <c r="C19" s="183">
        <v>50</v>
      </c>
      <c r="D19" s="183">
        <v>50</v>
      </c>
      <c r="F19" s="184"/>
      <c r="G19" s="184"/>
      <c r="J19" s="137">
        <f t="shared" si="0"/>
        <v>-50</v>
      </c>
      <c r="K19" t="s">
        <v>572</v>
      </c>
      <c r="M19" t="s">
        <v>429</v>
      </c>
      <c r="Q19">
        <v>50</v>
      </c>
      <c r="S19" s="137">
        <f t="shared" si="3"/>
        <v>0</v>
      </c>
    </row>
    <row r="20" spans="2:19" x14ac:dyDescent="0.3">
      <c r="B20" t="s">
        <v>547</v>
      </c>
      <c r="C20" s="115" t="s">
        <v>560</v>
      </c>
      <c r="D20" s="115">
        <v>0</v>
      </c>
      <c r="F20" s="183">
        <v>160</v>
      </c>
      <c r="G20" s="184">
        <v>6.07</v>
      </c>
      <c r="H20" t="s">
        <v>547</v>
      </c>
      <c r="J20" s="137">
        <f t="shared" si="0"/>
        <v>160</v>
      </c>
      <c r="K20" t="s">
        <v>571</v>
      </c>
      <c r="M20" t="s">
        <v>547</v>
      </c>
      <c r="N20" t="s">
        <v>548</v>
      </c>
      <c r="O20">
        <v>160</v>
      </c>
      <c r="P20">
        <v>6.07</v>
      </c>
      <c r="Q20">
        <v>-160</v>
      </c>
      <c r="R20" t="s">
        <v>547</v>
      </c>
      <c r="S20" s="137">
        <f t="shared" si="3"/>
        <v>0</v>
      </c>
    </row>
    <row r="21" spans="2:19" ht="15" thickBot="1" x14ac:dyDescent="0.35">
      <c r="C21" s="267">
        <f>SUM(C4:C20)</f>
        <v>2001</v>
      </c>
      <c r="D21" s="267">
        <f>SUM(D4:D20)</f>
        <v>2001</v>
      </c>
      <c r="E21" s="268"/>
      <c r="F21" s="267">
        <f>SUM(F4:F20)</f>
        <v>1831</v>
      </c>
      <c r="G21" s="267">
        <f>SUM(G4:G20)</f>
        <v>79.94</v>
      </c>
      <c r="H21" s="268"/>
      <c r="I21" s="268"/>
      <c r="J21" s="267">
        <f>SUM(J4:J20)</f>
        <v>-170</v>
      </c>
    </row>
    <row r="23" spans="2:19" x14ac:dyDescent="0.3">
      <c r="F23" s="137">
        <f>+D21-F21</f>
        <v>170</v>
      </c>
    </row>
  </sheetData>
  <sortState xmlns:xlrd2="http://schemas.microsoft.com/office/spreadsheetml/2017/richdata2" ref="A4:S20">
    <sortCondition ref="B4:B20"/>
  </sortState>
  <mergeCells count="2">
    <mergeCell ref="C2:D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51"/>
  <sheetViews>
    <sheetView tabSelected="1" topLeftCell="A9" zoomScale="115" zoomScaleNormal="115" workbookViewId="0">
      <pane xSplit="1" ySplit="1" topLeftCell="G193" activePane="bottomRight" state="frozen"/>
      <selection activeCell="A9" sqref="A9"/>
      <selection pane="topRight" activeCell="B9" sqref="B9"/>
      <selection pane="bottomLeft" activeCell="A10" sqref="A10"/>
      <selection pane="bottomRight" activeCell="G207" sqref="G207"/>
    </sheetView>
  </sheetViews>
  <sheetFormatPr defaultColWidth="9.109375" defaultRowHeight="10.199999999999999" x14ac:dyDescent="0.3"/>
  <cols>
    <col min="1" max="1" width="27.6640625" style="29" customWidth="1"/>
    <col min="2" max="2" width="30.88671875" style="176" customWidth="1"/>
    <col min="3" max="3" width="9.109375" style="55" customWidth="1"/>
    <col min="4" max="4" width="9.88671875" style="56" customWidth="1"/>
    <col min="5" max="5" width="7.33203125" style="57" customWidth="1"/>
    <col min="6" max="6" width="10.6640625" style="42" customWidth="1"/>
    <col min="7" max="7" width="14.6640625" style="31" customWidth="1"/>
    <col min="8" max="8" width="11.21875" style="31" customWidth="1"/>
    <col min="9" max="9" width="11.33203125" style="31" customWidth="1"/>
    <col min="10" max="10" width="9.6640625" style="58" customWidth="1"/>
    <col min="11" max="11" width="15" style="58" customWidth="1"/>
    <col min="12" max="12" width="11.109375" style="50" customWidth="1"/>
    <col min="13" max="15" width="9.6640625" style="58" customWidth="1"/>
    <col min="16" max="16" width="7.88671875" style="58" customWidth="1"/>
    <col min="17" max="17" width="40" style="178" bestFit="1" customWidth="1"/>
    <col min="18" max="18" width="5.6640625" style="29" customWidth="1"/>
    <col min="19" max="19" width="8.77734375" style="30" bestFit="1" customWidth="1"/>
    <col min="20" max="21" width="5.6640625" style="30" customWidth="1"/>
    <col min="22" max="22" width="7.33203125" style="31" customWidth="1"/>
    <col min="23" max="49" width="5.6640625" style="31" customWidth="1"/>
    <col min="50" max="64" width="6.109375" style="39" customWidth="1"/>
    <col min="65" max="65" width="5.6640625" style="29" customWidth="1"/>
    <col min="66" max="85" width="9.109375" style="29" customWidth="1"/>
    <col min="86" max="16384" width="9.109375" style="29"/>
  </cols>
  <sheetData>
    <row r="1" spans="1:85" s="3" customFormat="1" hidden="1" x14ac:dyDescent="0.3">
      <c r="A1" s="3" t="s">
        <v>49</v>
      </c>
      <c r="B1" s="170"/>
      <c r="C1" s="94" t="s">
        <v>192</v>
      </c>
      <c r="D1" s="41"/>
      <c r="E1" s="41"/>
      <c r="F1" s="42"/>
      <c r="G1" s="43"/>
      <c r="J1" s="43"/>
      <c r="K1" s="44" t="s">
        <v>118</v>
      </c>
      <c r="L1" s="45" t="e">
        <f>+#REF!+#REF!+#REF!+#REF!+#REF!+#REF!+#REF!</f>
        <v>#REF!</v>
      </c>
      <c r="M1" s="33"/>
      <c r="N1" s="33"/>
      <c r="O1" s="33"/>
      <c r="P1" s="33"/>
      <c r="Q1" s="257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</row>
    <row r="2" spans="1:85" s="3" customFormat="1" hidden="1" x14ac:dyDescent="0.3">
      <c r="A2" s="3" t="s">
        <v>23</v>
      </c>
      <c r="B2" s="170"/>
      <c r="C2" s="91" t="s">
        <v>117</v>
      </c>
      <c r="D2" s="304" t="s">
        <v>142</v>
      </c>
      <c r="E2" s="304"/>
      <c r="F2" s="304"/>
      <c r="G2" s="304"/>
      <c r="H2" s="304"/>
      <c r="I2" s="304"/>
      <c r="J2" s="304"/>
      <c r="K2" s="46"/>
      <c r="L2" s="50"/>
      <c r="M2" s="51" t="s">
        <v>25</v>
      </c>
      <c r="N2" s="51"/>
      <c r="O2" s="51"/>
      <c r="P2" s="51"/>
      <c r="Q2" s="258"/>
      <c r="R2" s="61">
        <v>50</v>
      </c>
      <c r="S2" s="61">
        <v>100</v>
      </c>
      <c r="T2" s="61">
        <v>110</v>
      </c>
      <c r="U2" s="61"/>
      <c r="V2" s="61">
        <v>160</v>
      </c>
      <c r="W2" s="61">
        <v>160</v>
      </c>
      <c r="X2" s="61">
        <v>160</v>
      </c>
      <c r="Y2" s="61">
        <v>160</v>
      </c>
      <c r="Z2" s="61">
        <v>140</v>
      </c>
      <c r="AA2" s="61">
        <v>130</v>
      </c>
      <c r="AB2" s="61">
        <v>125</v>
      </c>
      <c r="AC2" s="61">
        <v>125</v>
      </c>
      <c r="AD2" s="61">
        <v>125</v>
      </c>
      <c r="AE2" s="61">
        <v>125</v>
      </c>
      <c r="AF2" s="61">
        <v>125</v>
      </c>
      <c r="AG2" s="61">
        <v>125</v>
      </c>
      <c r="AH2" s="61">
        <v>125</v>
      </c>
      <c r="AI2" s="61">
        <v>125</v>
      </c>
      <c r="AJ2" s="61">
        <v>125</v>
      </c>
      <c r="AK2" s="61">
        <v>125</v>
      </c>
      <c r="AL2" s="61">
        <v>125</v>
      </c>
      <c r="AM2" s="61">
        <v>125</v>
      </c>
      <c r="AN2" s="61">
        <v>125</v>
      </c>
      <c r="AO2" s="61">
        <v>125</v>
      </c>
      <c r="AP2" s="61">
        <v>125</v>
      </c>
      <c r="AQ2" s="61">
        <v>125</v>
      </c>
      <c r="AR2" s="61">
        <v>125</v>
      </c>
      <c r="AS2" s="61">
        <v>125</v>
      </c>
      <c r="AT2" s="61">
        <v>125</v>
      </c>
      <c r="AU2" s="61">
        <v>125</v>
      </c>
      <c r="AV2" s="61">
        <v>125</v>
      </c>
      <c r="AW2" s="61">
        <v>125</v>
      </c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</row>
    <row r="3" spans="1:85" s="3" customFormat="1" hidden="1" x14ac:dyDescent="0.3">
      <c r="A3" s="3" t="s">
        <v>104</v>
      </c>
      <c r="B3" s="170"/>
      <c r="C3" s="90" t="s">
        <v>123</v>
      </c>
      <c r="D3" s="304"/>
      <c r="E3" s="304"/>
      <c r="F3" s="304"/>
      <c r="G3" s="304"/>
      <c r="H3" s="304"/>
      <c r="I3" s="304"/>
      <c r="J3" s="304"/>
      <c r="K3" s="46"/>
      <c r="L3" s="50"/>
      <c r="M3" s="51" t="s">
        <v>105</v>
      </c>
      <c r="N3" s="51"/>
      <c r="O3" s="51"/>
      <c r="P3" s="51"/>
      <c r="Q3" s="258"/>
      <c r="R3" s="62" t="s">
        <v>108</v>
      </c>
      <c r="S3" s="62">
        <v>25</v>
      </c>
      <c r="T3" s="62">
        <v>25</v>
      </c>
      <c r="U3" s="62"/>
      <c r="V3" s="62">
        <v>25</v>
      </c>
      <c r="W3" s="62">
        <v>25</v>
      </c>
      <c r="X3" s="62">
        <v>25</v>
      </c>
      <c r="Y3" s="62">
        <v>25</v>
      </c>
      <c r="Z3" s="62">
        <v>25</v>
      </c>
      <c r="AA3" s="62">
        <v>25</v>
      </c>
      <c r="AB3" s="62">
        <v>25</v>
      </c>
      <c r="AC3" s="62">
        <v>25</v>
      </c>
      <c r="AD3" s="62">
        <v>25</v>
      </c>
      <c r="AE3" s="62">
        <v>25</v>
      </c>
      <c r="AF3" s="62">
        <v>25</v>
      </c>
      <c r="AG3" s="62">
        <v>25</v>
      </c>
      <c r="AH3" s="62">
        <v>25</v>
      </c>
      <c r="AI3" s="62">
        <v>25</v>
      </c>
      <c r="AJ3" s="62">
        <v>25</v>
      </c>
      <c r="AK3" s="62">
        <v>25</v>
      </c>
      <c r="AL3" s="62">
        <v>25</v>
      </c>
      <c r="AM3" s="62">
        <v>25</v>
      </c>
      <c r="AN3" s="62">
        <v>25</v>
      </c>
      <c r="AO3" s="62">
        <v>25</v>
      </c>
      <c r="AP3" s="62">
        <v>25</v>
      </c>
      <c r="AQ3" s="62">
        <v>25</v>
      </c>
      <c r="AR3" s="62">
        <v>25</v>
      </c>
      <c r="AS3" s="62">
        <v>25</v>
      </c>
      <c r="AT3" s="62">
        <v>25</v>
      </c>
      <c r="AU3" s="62">
        <v>25</v>
      </c>
      <c r="AV3" s="62">
        <v>25</v>
      </c>
      <c r="AW3" s="62">
        <v>25</v>
      </c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</row>
    <row r="4" spans="1:85" s="3" customFormat="1" hidden="1" x14ac:dyDescent="0.3">
      <c r="A4" s="3" t="s">
        <v>31</v>
      </c>
      <c r="B4" s="170"/>
      <c r="C4" s="147" t="s">
        <v>141</v>
      </c>
      <c r="D4" s="47"/>
      <c r="E4" s="40"/>
      <c r="F4" s="42"/>
      <c r="G4" s="48"/>
      <c r="H4" s="49"/>
      <c r="I4" s="49"/>
      <c r="J4" s="46"/>
      <c r="K4" s="46"/>
      <c r="L4" s="50"/>
      <c r="M4" s="51" t="s">
        <v>106</v>
      </c>
      <c r="N4" s="51"/>
      <c r="O4" s="51"/>
      <c r="P4" s="51"/>
      <c r="Q4" s="258"/>
      <c r="R4" s="63" t="s">
        <v>108</v>
      </c>
      <c r="S4" s="63">
        <v>50</v>
      </c>
      <c r="T4" s="63" t="s">
        <v>108</v>
      </c>
      <c r="U4" s="63"/>
      <c r="V4" s="63" t="s">
        <v>108</v>
      </c>
      <c r="W4" s="63" t="s">
        <v>108</v>
      </c>
      <c r="X4" s="63" t="s">
        <v>108</v>
      </c>
      <c r="Y4" s="63" t="s">
        <v>108</v>
      </c>
      <c r="Z4" s="63" t="s">
        <v>108</v>
      </c>
      <c r="AA4" s="63" t="s">
        <v>108</v>
      </c>
      <c r="AB4" s="63">
        <v>63</v>
      </c>
      <c r="AC4" s="63">
        <v>63</v>
      </c>
      <c r="AD4" s="63">
        <v>63</v>
      </c>
      <c r="AE4" s="63">
        <v>63</v>
      </c>
      <c r="AF4" s="63">
        <v>63</v>
      </c>
      <c r="AG4" s="63">
        <v>63</v>
      </c>
      <c r="AH4" s="63">
        <v>63</v>
      </c>
      <c r="AI4" s="63">
        <v>63</v>
      </c>
      <c r="AJ4" s="63">
        <v>63</v>
      </c>
      <c r="AK4" s="63">
        <v>63</v>
      </c>
      <c r="AL4" s="63">
        <v>63</v>
      </c>
      <c r="AM4" s="63">
        <v>63</v>
      </c>
      <c r="AN4" s="63">
        <v>63</v>
      </c>
      <c r="AO4" s="63">
        <v>63</v>
      </c>
      <c r="AP4" s="63">
        <v>63</v>
      </c>
      <c r="AQ4" s="63">
        <v>63</v>
      </c>
      <c r="AR4" s="63">
        <v>63</v>
      </c>
      <c r="AS4" s="63">
        <v>63</v>
      </c>
      <c r="AT4" s="63">
        <v>63</v>
      </c>
      <c r="AU4" s="63">
        <v>63</v>
      </c>
      <c r="AV4" s="63">
        <v>63</v>
      </c>
      <c r="AW4" s="63">
        <v>63</v>
      </c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</row>
    <row r="5" spans="1:85" s="3" customFormat="1" hidden="1" x14ac:dyDescent="0.3">
      <c r="B5" s="170"/>
      <c r="D5" s="47"/>
      <c r="E5" s="40"/>
      <c r="F5" s="42"/>
      <c r="G5" s="48"/>
      <c r="H5" s="49"/>
      <c r="I5" s="49"/>
      <c r="J5" s="46"/>
      <c r="K5" s="46"/>
      <c r="L5" s="50"/>
      <c r="M5" s="51" t="s">
        <v>107</v>
      </c>
      <c r="N5" s="51"/>
      <c r="O5" s="51"/>
      <c r="P5" s="51"/>
      <c r="Q5" s="258"/>
      <c r="R5" s="59" t="s">
        <v>108</v>
      </c>
      <c r="S5" s="59" t="s">
        <v>108</v>
      </c>
      <c r="T5" s="59" t="s">
        <v>108</v>
      </c>
      <c r="U5" s="59"/>
      <c r="V5" s="59" t="s">
        <v>108</v>
      </c>
      <c r="W5" s="59" t="s">
        <v>108</v>
      </c>
      <c r="X5" s="59" t="s">
        <v>108</v>
      </c>
      <c r="Y5" s="59" t="s">
        <v>108</v>
      </c>
      <c r="Z5" s="59" t="s">
        <v>108</v>
      </c>
      <c r="AA5" s="59" t="s">
        <v>108</v>
      </c>
      <c r="AB5" s="59" t="s">
        <v>108</v>
      </c>
      <c r="AC5" s="59" t="s">
        <v>108</v>
      </c>
      <c r="AD5" s="59" t="s">
        <v>108</v>
      </c>
      <c r="AE5" s="59" t="s">
        <v>108</v>
      </c>
      <c r="AF5" s="59" t="s">
        <v>108</v>
      </c>
      <c r="AG5" s="59" t="s">
        <v>108</v>
      </c>
      <c r="AH5" s="59" t="s">
        <v>108</v>
      </c>
      <c r="AI5" s="59" t="s">
        <v>108</v>
      </c>
      <c r="AJ5" s="59" t="s">
        <v>108</v>
      </c>
      <c r="AK5" s="59" t="s">
        <v>108</v>
      </c>
      <c r="AL5" s="59" t="s">
        <v>108</v>
      </c>
      <c r="AM5" s="59" t="s">
        <v>108</v>
      </c>
      <c r="AN5" s="59" t="s">
        <v>108</v>
      </c>
      <c r="AO5" s="59" t="s">
        <v>108</v>
      </c>
      <c r="AP5" s="59" t="s">
        <v>108</v>
      </c>
      <c r="AQ5" s="59" t="s">
        <v>108</v>
      </c>
      <c r="AR5" s="59" t="s">
        <v>108</v>
      </c>
      <c r="AS5" s="59" t="s">
        <v>108</v>
      </c>
      <c r="AT5" s="59" t="s">
        <v>108</v>
      </c>
      <c r="AU5" s="59" t="s">
        <v>108</v>
      </c>
      <c r="AV5" s="59" t="s">
        <v>108</v>
      </c>
      <c r="AW5" s="59" t="s">
        <v>108</v>
      </c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</row>
    <row r="6" spans="1:85" s="3" customFormat="1" hidden="1" x14ac:dyDescent="0.3">
      <c r="B6" s="170"/>
      <c r="C6" s="148" t="s">
        <v>171</v>
      </c>
      <c r="D6" s="47"/>
      <c r="E6" s="40"/>
      <c r="F6" s="42"/>
      <c r="G6" s="48"/>
      <c r="H6" s="49"/>
      <c r="I6" s="49"/>
      <c r="J6" s="46"/>
      <c r="K6" s="46"/>
      <c r="L6" s="50"/>
      <c r="M6" s="51" t="s">
        <v>119</v>
      </c>
      <c r="N6" s="51"/>
      <c r="O6" s="51"/>
      <c r="P6" s="51"/>
      <c r="Q6" s="258"/>
      <c r="R6" s="60">
        <v>25</v>
      </c>
      <c r="S6" s="60">
        <v>50</v>
      </c>
      <c r="T6" s="60" t="s">
        <v>108</v>
      </c>
      <c r="U6" s="60"/>
      <c r="V6" s="60" t="s">
        <v>108</v>
      </c>
      <c r="W6" s="60" t="s">
        <v>108</v>
      </c>
      <c r="X6" s="60" t="s">
        <v>108</v>
      </c>
      <c r="Y6" s="60" t="s">
        <v>108</v>
      </c>
      <c r="Z6" s="60" t="s">
        <v>108</v>
      </c>
      <c r="AA6" s="60">
        <f>130-50</f>
        <v>80</v>
      </c>
      <c r="AB6" s="60">
        <f>125-50</f>
        <v>75</v>
      </c>
      <c r="AC6" s="60">
        <f t="shared" ref="AC6:AW6" si="0">125-50</f>
        <v>75</v>
      </c>
      <c r="AD6" s="60">
        <f t="shared" si="0"/>
        <v>75</v>
      </c>
      <c r="AE6" s="60">
        <f t="shared" si="0"/>
        <v>75</v>
      </c>
      <c r="AF6" s="60">
        <f t="shared" si="0"/>
        <v>75</v>
      </c>
      <c r="AG6" s="60">
        <f t="shared" si="0"/>
        <v>75</v>
      </c>
      <c r="AH6" s="60">
        <f t="shared" si="0"/>
        <v>75</v>
      </c>
      <c r="AI6" s="60">
        <f t="shared" si="0"/>
        <v>75</v>
      </c>
      <c r="AJ6" s="60">
        <f t="shared" si="0"/>
        <v>75</v>
      </c>
      <c r="AK6" s="60">
        <f t="shared" si="0"/>
        <v>75</v>
      </c>
      <c r="AL6" s="60">
        <f t="shared" si="0"/>
        <v>75</v>
      </c>
      <c r="AM6" s="60">
        <f t="shared" si="0"/>
        <v>75</v>
      </c>
      <c r="AN6" s="60">
        <f t="shared" si="0"/>
        <v>75</v>
      </c>
      <c r="AO6" s="60">
        <f t="shared" si="0"/>
        <v>75</v>
      </c>
      <c r="AP6" s="60">
        <f t="shared" si="0"/>
        <v>75</v>
      </c>
      <c r="AQ6" s="60">
        <f t="shared" si="0"/>
        <v>75</v>
      </c>
      <c r="AR6" s="60">
        <f t="shared" si="0"/>
        <v>75</v>
      </c>
      <c r="AS6" s="60">
        <f t="shared" si="0"/>
        <v>75</v>
      </c>
      <c r="AT6" s="60">
        <f t="shared" si="0"/>
        <v>75</v>
      </c>
      <c r="AU6" s="60">
        <f t="shared" si="0"/>
        <v>75</v>
      </c>
      <c r="AV6" s="60">
        <f t="shared" si="0"/>
        <v>75</v>
      </c>
      <c r="AW6" s="60">
        <f t="shared" si="0"/>
        <v>75</v>
      </c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</row>
    <row r="7" spans="1:85" s="3" customFormat="1" ht="10.8" hidden="1" thickBot="1" x14ac:dyDescent="0.35">
      <c r="A7" s="3" t="s">
        <v>24</v>
      </c>
      <c r="B7" s="170"/>
      <c r="C7" s="40"/>
      <c r="D7" s="53">
        <v>44450</v>
      </c>
      <c r="E7" s="54"/>
      <c r="F7" s="4" t="s">
        <v>55</v>
      </c>
      <c r="K7" s="46"/>
      <c r="L7" s="50"/>
      <c r="M7" s="51" t="s">
        <v>120</v>
      </c>
      <c r="N7" s="51"/>
      <c r="O7" s="51"/>
      <c r="P7" s="51"/>
      <c r="Q7" s="258"/>
      <c r="R7" s="95">
        <v>50</v>
      </c>
      <c r="S7" s="95">
        <v>100</v>
      </c>
      <c r="T7" s="95" t="s">
        <v>108</v>
      </c>
      <c r="U7" s="95"/>
      <c r="V7" s="95" t="s">
        <v>108</v>
      </c>
      <c r="W7" s="95" t="s">
        <v>108</v>
      </c>
      <c r="X7" s="95" t="s">
        <v>108</v>
      </c>
      <c r="Y7" s="95" t="s">
        <v>108</v>
      </c>
      <c r="Z7" s="95" t="s">
        <v>108</v>
      </c>
      <c r="AA7" s="95">
        <v>130</v>
      </c>
      <c r="AB7" s="95">
        <v>125</v>
      </c>
      <c r="AC7" s="95">
        <v>126</v>
      </c>
      <c r="AD7" s="95">
        <v>127</v>
      </c>
      <c r="AE7" s="95">
        <v>128</v>
      </c>
      <c r="AF7" s="95">
        <v>129</v>
      </c>
      <c r="AG7" s="95">
        <v>130</v>
      </c>
      <c r="AH7" s="95">
        <v>131</v>
      </c>
      <c r="AI7" s="95">
        <v>132</v>
      </c>
      <c r="AJ7" s="95">
        <v>133</v>
      </c>
      <c r="AK7" s="95">
        <v>134</v>
      </c>
      <c r="AL7" s="95">
        <v>135</v>
      </c>
      <c r="AM7" s="95">
        <v>136</v>
      </c>
      <c r="AN7" s="95">
        <v>137</v>
      </c>
      <c r="AO7" s="95">
        <v>138</v>
      </c>
      <c r="AP7" s="95">
        <v>139</v>
      </c>
      <c r="AQ7" s="95">
        <v>140</v>
      </c>
      <c r="AR7" s="95">
        <v>141</v>
      </c>
      <c r="AS7" s="95">
        <v>142</v>
      </c>
      <c r="AT7" s="95">
        <v>143</v>
      </c>
      <c r="AU7" s="95">
        <v>144</v>
      </c>
      <c r="AV7" s="95">
        <v>145</v>
      </c>
      <c r="AW7" s="95">
        <v>146</v>
      </c>
    </row>
    <row r="8" spans="1:85" s="98" customFormat="1" hidden="1" x14ac:dyDescent="0.3">
      <c r="B8" s="171"/>
      <c r="C8" s="99"/>
      <c r="D8" s="113" t="s">
        <v>199</v>
      </c>
      <c r="E8" s="100"/>
      <c r="F8" s="101"/>
      <c r="K8" s="99"/>
      <c r="L8" s="102"/>
      <c r="M8" s="103" t="s">
        <v>124</v>
      </c>
      <c r="N8" s="103"/>
      <c r="O8" s="103"/>
      <c r="P8" s="103"/>
      <c r="R8" s="104"/>
      <c r="S8" s="104"/>
      <c r="T8" s="104"/>
      <c r="U8" s="104"/>
      <c r="V8" s="105" t="s">
        <v>234</v>
      </c>
      <c r="W8" s="105" t="s">
        <v>235</v>
      </c>
      <c r="X8" s="105" t="s">
        <v>237</v>
      </c>
      <c r="Y8" s="105" t="s">
        <v>236</v>
      </c>
      <c r="Z8" s="105" t="s">
        <v>143</v>
      </c>
      <c r="AA8" s="105" t="s">
        <v>126</v>
      </c>
      <c r="AB8" s="105" t="s">
        <v>219</v>
      </c>
      <c r="AC8" s="105" t="s">
        <v>220</v>
      </c>
      <c r="AD8" s="105" t="s">
        <v>221</v>
      </c>
      <c r="AE8" s="105" t="s">
        <v>222</v>
      </c>
      <c r="AF8" s="105" t="s">
        <v>223</v>
      </c>
      <c r="AG8" s="105" t="s">
        <v>224</v>
      </c>
      <c r="AH8" s="105" t="s">
        <v>225</v>
      </c>
      <c r="AI8" s="105" t="s">
        <v>226</v>
      </c>
      <c r="AJ8" s="105" t="s">
        <v>227</v>
      </c>
      <c r="AK8" s="105" t="s">
        <v>228</v>
      </c>
      <c r="AL8" s="105" t="s">
        <v>229</v>
      </c>
      <c r="AM8" s="105" t="s">
        <v>215</v>
      </c>
      <c r="AN8" s="105" t="s">
        <v>216</v>
      </c>
      <c r="AO8" s="106" t="s">
        <v>217</v>
      </c>
      <c r="AP8" s="106" t="s">
        <v>218</v>
      </c>
      <c r="AQ8" s="105" t="s">
        <v>214</v>
      </c>
      <c r="AR8" s="105" t="s">
        <v>213</v>
      </c>
      <c r="AS8" s="105" t="s">
        <v>230</v>
      </c>
      <c r="AT8" s="105" t="s">
        <v>231</v>
      </c>
      <c r="AU8" s="106" t="s">
        <v>232</v>
      </c>
      <c r="AV8" s="106" t="s">
        <v>233</v>
      </c>
      <c r="AW8" s="106" t="s">
        <v>144</v>
      </c>
      <c r="AX8" s="301" t="s">
        <v>30</v>
      </c>
      <c r="AY8" s="302"/>
      <c r="AZ8" s="302"/>
      <c r="BA8" s="302"/>
      <c r="BB8" s="302"/>
      <c r="BC8" s="302"/>
      <c r="BD8" s="302"/>
      <c r="BE8" s="302"/>
      <c r="BF8" s="302"/>
      <c r="BG8" s="302"/>
      <c r="BH8" s="302"/>
      <c r="BI8" s="302"/>
      <c r="BJ8" s="302"/>
      <c r="BK8" s="302"/>
      <c r="BL8" s="303"/>
    </row>
    <row r="9" spans="1:85" s="97" customFormat="1" ht="40.799999999999997" x14ac:dyDescent="0.3">
      <c r="A9" s="77" t="s">
        <v>0</v>
      </c>
      <c r="B9" s="172" t="s">
        <v>1</v>
      </c>
      <c r="C9" s="78" t="s">
        <v>32</v>
      </c>
      <c r="D9" s="79" t="s">
        <v>4</v>
      </c>
      <c r="E9" s="78" t="s">
        <v>5</v>
      </c>
      <c r="F9" s="80" t="s">
        <v>2</v>
      </c>
      <c r="G9" s="77" t="s">
        <v>182</v>
      </c>
      <c r="H9" s="77" t="s">
        <v>22</v>
      </c>
      <c r="I9" s="77" t="s">
        <v>153</v>
      </c>
      <c r="J9" s="81" t="s">
        <v>3</v>
      </c>
      <c r="K9" s="81" t="s">
        <v>34</v>
      </c>
      <c r="L9" s="82" t="s">
        <v>35</v>
      </c>
      <c r="M9" s="81" t="s">
        <v>36</v>
      </c>
      <c r="N9" s="81" t="s">
        <v>546</v>
      </c>
      <c r="O9" s="81" t="s">
        <v>552</v>
      </c>
      <c r="P9" s="81" t="s">
        <v>556</v>
      </c>
      <c r="Q9" s="259" t="s">
        <v>550</v>
      </c>
      <c r="R9" s="77" t="s">
        <v>8</v>
      </c>
      <c r="S9" s="77" t="s">
        <v>33</v>
      </c>
      <c r="T9" s="83" t="s">
        <v>7</v>
      </c>
      <c r="U9" s="83"/>
      <c r="V9" s="83" t="s">
        <v>178</v>
      </c>
      <c r="W9" s="83" t="s">
        <v>179</v>
      </c>
      <c r="X9" s="83" t="s">
        <v>181</v>
      </c>
      <c r="Y9" s="83" t="s">
        <v>180</v>
      </c>
      <c r="Z9" s="83" t="s">
        <v>20</v>
      </c>
      <c r="AA9" s="83" t="s">
        <v>21</v>
      </c>
      <c r="AB9" s="83" t="s">
        <v>132</v>
      </c>
      <c r="AC9" s="83" t="s">
        <v>133</v>
      </c>
      <c r="AD9" s="83" t="s">
        <v>134</v>
      </c>
      <c r="AE9" s="83" t="s">
        <v>135</v>
      </c>
      <c r="AF9" s="83" t="s">
        <v>19</v>
      </c>
      <c r="AG9" s="83" t="s">
        <v>136</v>
      </c>
      <c r="AH9" s="83" t="s">
        <v>264</v>
      </c>
      <c r="AI9" s="83" t="s">
        <v>17</v>
      </c>
      <c r="AJ9" s="83" t="s">
        <v>16</v>
      </c>
      <c r="AK9" s="83" t="s">
        <v>15</v>
      </c>
      <c r="AL9" s="83" t="s">
        <v>14</v>
      </c>
      <c r="AM9" s="83" t="s">
        <v>13</v>
      </c>
      <c r="AN9" s="83" t="s">
        <v>137</v>
      </c>
      <c r="AO9" s="83" t="s">
        <v>53</v>
      </c>
      <c r="AP9" s="83" t="s">
        <v>54</v>
      </c>
      <c r="AQ9" s="83" t="s">
        <v>140</v>
      </c>
      <c r="AR9" s="83" t="s">
        <v>10</v>
      </c>
      <c r="AS9" s="83" t="s">
        <v>12</v>
      </c>
      <c r="AT9" s="83" t="s">
        <v>138</v>
      </c>
      <c r="AU9" s="83" t="s">
        <v>11</v>
      </c>
      <c r="AV9" s="84" t="s">
        <v>139</v>
      </c>
      <c r="AW9" s="85" t="s">
        <v>9</v>
      </c>
      <c r="AX9" s="86" t="s">
        <v>96</v>
      </c>
      <c r="AY9" s="87" t="s">
        <v>95</v>
      </c>
      <c r="AZ9" s="87" t="s">
        <v>97</v>
      </c>
      <c r="BA9" s="87" t="s">
        <v>38</v>
      </c>
      <c r="BB9" s="87" t="s">
        <v>39</v>
      </c>
      <c r="BC9" s="87" t="s">
        <v>99</v>
      </c>
      <c r="BD9" s="87" t="s">
        <v>93</v>
      </c>
      <c r="BE9" s="87" t="s">
        <v>6</v>
      </c>
      <c r="BF9" s="87" t="s">
        <v>172</v>
      </c>
      <c r="BG9" s="87" t="s">
        <v>102</v>
      </c>
      <c r="BH9" s="88" t="s">
        <v>539</v>
      </c>
      <c r="BI9" s="88" t="s">
        <v>98</v>
      </c>
      <c r="BJ9" s="88" t="s">
        <v>171</v>
      </c>
      <c r="BK9" s="88" t="s">
        <v>538</v>
      </c>
      <c r="BL9" s="89" t="s">
        <v>28</v>
      </c>
      <c r="BM9" s="97" t="s">
        <v>61</v>
      </c>
      <c r="BQ9" s="97" t="s">
        <v>147</v>
      </c>
    </row>
    <row r="10" spans="1:85" s="7" customFormat="1" ht="10.199999999999999" customHeight="1" x14ac:dyDescent="0.2">
      <c r="A10" s="189" t="s">
        <v>271</v>
      </c>
      <c r="B10" s="187" t="s">
        <v>272</v>
      </c>
      <c r="C10" s="5">
        <v>265</v>
      </c>
      <c r="D10" s="6">
        <v>42898</v>
      </c>
      <c r="E10" s="284">
        <f>IF($D10 = 0,0,DATEDIF($D10,$D$7,"D"))</f>
        <v>1552</v>
      </c>
      <c r="F10" s="193">
        <f>((R10*$R$2)+(S10*$S$2)+(T10*$T$2)++(U10*$U$2)++(V10*$V$2)++(W10*$W$2)++(X10*$X$2)++(Y10*$Y$2)+(Z10*$Z$2)+(AA10*$AA$2)+(AB10*$AB$2)+(AC10*$AC$2)+(AD10*$AD$2)+(AE10*$AE$2)+(AF10*$AF$2)+(AG10*$AG$2)+(AH10*$AH$2)+(AI10*$AI$2)+(AJ10*$AJ$2)+(AK10*$AK$2)+(AL10*$AL$2)+(AM10*$AM$2)+(AN10*$AN$2)+(AO10*$AO$2)+(AP10*$AP$2)+(AQ10*$AQ$2)+(AR10*$AR$2)+(AS10*$AS$2)+(AT10*$AT$2)+(AU10*$AU$2)+(AV10*$AV$2)+(AW10*$AW$2))</f>
        <v>140</v>
      </c>
      <c r="G10" s="8" t="s">
        <v>38</v>
      </c>
      <c r="H10" s="9"/>
      <c r="I10" s="9"/>
      <c r="J10" s="9"/>
      <c r="K10" s="93">
        <f>+F10-I10+J10-H10</f>
        <v>140</v>
      </c>
      <c r="L10" s="64">
        <v>140</v>
      </c>
      <c r="M10" s="253">
        <f>+K10-L10</f>
        <v>0</v>
      </c>
      <c r="N10" s="253" t="s">
        <v>545</v>
      </c>
      <c r="O10" s="253">
        <v>140</v>
      </c>
      <c r="P10" s="253">
        <f>+L10-O10</f>
        <v>0</v>
      </c>
      <c r="Q10" s="271" t="s">
        <v>271</v>
      </c>
      <c r="R10" s="5"/>
      <c r="S10" s="8"/>
      <c r="T10" s="8"/>
      <c r="U10" s="8"/>
      <c r="V10" s="8"/>
      <c r="W10" s="8"/>
      <c r="X10" s="8"/>
      <c r="Y10" s="8"/>
      <c r="Z10" s="8">
        <v>1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194">
        <f>IF($G10="Youth 0-3",1,0)</f>
        <v>0</v>
      </c>
      <c r="AY10" s="194">
        <f>IF($G10="Youth 4-11",1,0)</f>
        <v>0</v>
      </c>
      <c r="AZ10" s="194">
        <f>IF($G10="Youth 12-15",1,0)</f>
        <v>0</v>
      </c>
      <c r="BA10" s="194">
        <f>IF($G10="Addict",1,0)</f>
        <v>1</v>
      </c>
      <c r="BB10" s="194">
        <f>IF($G10="Non-Addict",1,0)</f>
        <v>0</v>
      </c>
      <c r="BC10" s="194">
        <f>IF($G10="Free Reg Certificate",1,0)</f>
        <v>0</v>
      </c>
      <c r="BD10" s="194">
        <f>IF($G10="Newcomer",1,0)</f>
        <v>0</v>
      </c>
      <c r="BE10" s="194">
        <f>IF($G10="Committee",1,0)</f>
        <v>0</v>
      </c>
      <c r="BF10" s="194">
        <f>IF($G10="Treatment",1,0)</f>
        <v>0</v>
      </c>
      <c r="BG10" s="194">
        <f>IF($G10="Meeting Sponsored",1,0)</f>
        <v>0</v>
      </c>
      <c r="BH10" s="194">
        <f>IF($G10="Programming",1,0)</f>
        <v>0</v>
      </c>
      <c r="BI10" s="194">
        <f>IF($G10="Hardship",1,0)</f>
        <v>0</v>
      </c>
      <c r="BJ10" s="194">
        <f>IF($G10="Refund",1,0)</f>
        <v>0</v>
      </c>
      <c r="BK10" s="194">
        <f>IF($G10="Vermilion Bucks",1,0)</f>
        <v>0</v>
      </c>
      <c r="BL10" s="194">
        <f>IF($G10="Other",1,0)</f>
        <v>0</v>
      </c>
      <c r="BM10" s="286"/>
      <c r="BN10" s="286"/>
      <c r="BO10" s="286">
        <f>SUM(AX10:BL10)</f>
        <v>1</v>
      </c>
      <c r="BP10" s="287">
        <f>SUM(R10:AW10)</f>
        <v>1</v>
      </c>
      <c r="BQ10" s="287">
        <f>+BO10+BP10</f>
        <v>2</v>
      </c>
    </row>
    <row r="11" spans="1:85" s="7" customFormat="1" x14ac:dyDescent="0.2">
      <c r="A11" s="189" t="s">
        <v>330</v>
      </c>
      <c r="B11" s="187" t="s">
        <v>331</v>
      </c>
      <c r="C11" s="5">
        <v>100</v>
      </c>
      <c r="D11" s="6">
        <v>43505</v>
      </c>
      <c r="E11" s="284">
        <f>IF($D11 = 0,0,DATEDIF($D11,$D$7,"D"))</f>
        <v>945</v>
      </c>
      <c r="F11" s="193">
        <f>((R11*$R$2)+(S11*$S$2)+(T11*$T$2)++(U11*$U$2)++(V11*$V$2)++(W11*$W$2)++(X11*$X$2)++(Y11*$Y$2)+(Z11*$Z$2)+(AA11*$AA$2)+(AB11*$AB$2)+(AC11*$AC$2)+(AD11*$AD$2)+(AE11*$AE$2)+(AF11*$AF$2)+(AG11*$AG$2)+(AH11*$AH$2)+(AI11*$AI$2)+(AJ11*$AJ$2)+(AK11*$AK$2)+(AL11*$AL$2)+(AM11*$AM$2)+(AN11*$AN$2)+(AO11*$AO$2)+(AP11*$AP$2)+(AQ11*$AQ$2)+(AR11*$AR$2)+(AS11*$AS$2)+(AT11*$AT$2)+(AU11*$AU$2)+(AV11*$AV$2)+(AW11*$AW$2))</f>
        <v>160</v>
      </c>
      <c r="G11" s="8" t="s">
        <v>38</v>
      </c>
      <c r="H11" s="9"/>
      <c r="I11" s="9"/>
      <c r="J11" s="9"/>
      <c r="K11" s="93">
        <f>+F11-I11+J11-H11</f>
        <v>160</v>
      </c>
      <c r="L11" s="64">
        <v>160</v>
      </c>
      <c r="M11" s="253">
        <f>+K11-L11</f>
        <v>0</v>
      </c>
      <c r="N11" s="253" t="s">
        <v>545</v>
      </c>
      <c r="O11" s="253">
        <v>160</v>
      </c>
      <c r="P11" s="253">
        <f>+L11-O11</f>
        <v>0</v>
      </c>
      <c r="Q11" s="271" t="s">
        <v>330</v>
      </c>
      <c r="R11" s="5"/>
      <c r="S11" s="8"/>
      <c r="T11" s="8"/>
      <c r="U11" s="8"/>
      <c r="V11" s="8"/>
      <c r="W11" s="8">
        <v>1</v>
      </c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194">
        <f>IF($G11="Youth 0-3",1,0)</f>
        <v>0</v>
      </c>
      <c r="AY11" s="194">
        <f>IF($G11="Youth 4-11",1,0)</f>
        <v>0</v>
      </c>
      <c r="AZ11" s="194">
        <f>IF($G11="Youth 12-15",1,0)</f>
        <v>0</v>
      </c>
      <c r="BA11" s="194">
        <f>IF($G11="Addict",1,0)</f>
        <v>1</v>
      </c>
      <c r="BB11" s="194">
        <f>IF($G11="Non-Addict",1,0)</f>
        <v>0</v>
      </c>
      <c r="BC11" s="194">
        <f>IF($G11="Free Reg Certificate",1,0)</f>
        <v>0</v>
      </c>
      <c r="BD11" s="194">
        <f>IF($G11="Newcomer",1,0)</f>
        <v>0</v>
      </c>
      <c r="BE11" s="194">
        <f>IF($G11="Committee",1,0)</f>
        <v>0</v>
      </c>
      <c r="BF11" s="194">
        <f>IF($G11="Treatment",1,0)</f>
        <v>0</v>
      </c>
      <c r="BG11" s="194">
        <f>IF($G11="Meeting Sponsored",1,0)</f>
        <v>0</v>
      </c>
      <c r="BH11" s="194">
        <f>IF($G11="Programming",1,0)</f>
        <v>0</v>
      </c>
      <c r="BI11" s="194">
        <f>IF($G11="Hardship",1,0)</f>
        <v>0</v>
      </c>
      <c r="BJ11" s="194">
        <f>IF($G11="Refund",1,0)</f>
        <v>0</v>
      </c>
      <c r="BK11" s="194">
        <f>IF($G11="Vermilion Bucks",1,0)</f>
        <v>0</v>
      </c>
      <c r="BL11" s="194">
        <f>IF($G11="Other",1,0)</f>
        <v>0</v>
      </c>
      <c r="BM11" s="286"/>
      <c r="BN11" s="286"/>
      <c r="BO11" s="286">
        <f>SUM(AX11:BL11)</f>
        <v>1</v>
      </c>
      <c r="BP11" s="287">
        <f>SUM(R11:AW11)</f>
        <v>1</v>
      </c>
      <c r="BQ11" s="287">
        <f>+BO11+BP11</f>
        <v>2</v>
      </c>
    </row>
    <row r="12" spans="1:85" s="7" customFormat="1" x14ac:dyDescent="0.2">
      <c r="A12" s="182" t="s">
        <v>522</v>
      </c>
      <c r="B12" s="283" t="s">
        <v>353</v>
      </c>
      <c r="C12" s="5"/>
      <c r="D12" s="6"/>
      <c r="E12" s="284">
        <f>IF($D12 = 0,0,DATEDIF($D12,$D$7,"D"))</f>
        <v>0</v>
      </c>
      <c r="F12" s="193">
        <f>((R12*$R$2)+(S12*$S$2)+(T12*$T$2)++(U12*$U$2)++(V12*$V$2)++(W12*$W$2)++(X12*$X$2)++(Y12*$Y$2)+(Z12*$Z$2)+(AA12*$AA$2)+(AB12*$AB$2)+(AC12*$AC$2)+(AD12*$AD$2)+(AE12*$AE$2)+(AF12*$AF$2)+(AG12*$AG$2)+(AH12*$AH$2)+(AI12*$AI$2)+(AJ12*$AJ$2)+(AK12*$AK$2)+(AL12*$AL$2)+(AM12*$AM$2)+(AN12*$AN$2)+(AO12*$AO$2)+(AP12*$AP$2)+(AQ12*$AQ$2)+(AR12*$AR$2)+(AS12*$AS$2)+(AT12*$AT$2)+(AU12*$AU$2)+(AV12*$AV$2)+(AW12*$AW$2))</f>
        <v>0</v>
      </c>
      <c r="G12" s="8" t="s">
        <v>171</v>
      </c>
      <c r="H12" s="9"/>
      <c r="I12" s="9"/>
      <c r="J12" s="9"/>
      <c r="K12" s="252">
        <f>+F12-I12+J12-H12</f>
        <v>0</v>
      </c>
      <c r="L12" s="64">
        <v>0</v>
      </c>
      <c r="M12" s="253">
        <f>+K12-L12</f>
        <v>0</v>
      </c>
      <c r="N12" s="253" t="s">
        <v>549</v>
      </c>
      <c r="O12" s="253"/>
      <c r="P12" s="253">
        <f>+L12-O12</f>
        <v>0</v>
      </c>
      <c r="Q12" s="271" t="s">
        <v>522</v>
      </c>
      <c r="R12" s="5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194">
        <f>IF($G12="Youth 0-3",1,0)</f>
        <v>0</v>
      </c>
      <c r="AY12" s="194">
        <f>IF($G12="Youth 4-11",1,0)</f>
        <v>0</v>
      </c>
      <c r="AZ12" s="194">
        <f>IF($G12="Youth 12-15",1,0)</f>
        <v>0</v>
      </c>
      <c r="BA12" s="194">
        <f>IF($G12="Addict",1,0)</f>
        <v>0</v>
      </c>
      <c r="BB12" s="194">
        <f>IF($G12="Non-Addict",1,0)</f>
        <v>0</v>
      </c>
      <c r="BC12" s="194">
        <f>IF($G12="Free Reg Certificate",1,0)</f>
        <v>0</v>
      </c>
      <c r="BD12" s="194">
        <f>IF($G12="Newcomer",1,0)</f>
        <v>0</v>
      </c>
      <c r="BE12" s="194">
        <f>IF($G12="Committee",1,0)</f>
        <v>0</v>
      </c>
      <c r="BF12" s="194">
        <f>IF($G12="Treatment",1,0)</f>
        <v>0</v>
      </c>
      <c r="BG12" s="194">
        <f>IF($G12="Meeting Sponsored",1,0)</f>
        <v>0</v>
      </c>
      <c r="BH12" s="194">
        <f>IF($G12="Programming",1,0)</f>
        <v>0</v>
      </c>
      <c r="BI12" s="194">
        <f>IF($G12="Hardship",1,0)</f>
        <v>0</v>
      </c>
      <c r="BJ12" s="194">
        <f>IF($G12="Refund",1,0)</f>
        <v>1</v>
      </c>
      <c r="BK12" s="194">
        <f>IF($G12="Vermilion Bucks",1,0)</f>
        <v>0</v>
      </c>
      <c r="BL12" s="194">
        <f>IF($G12="Other",1,0)</f>
        <v>0</v>
      </c>
      <c r="BM12" s="286"/>
      <c r="BN12" s="286"/>
      <c r="BO12" s="286">
        <f>SUM(AX12:BL12)</f>
        <v>1</v>
      </c>
      <c r="BP12" s="287">
        <f>SUM(R12:AW12)</f>
        <v>0</v>
      </c>
      <c r="BQ12" s="287">
        <f>+BO12+BP12</f>
        <v>1</v>
      </c>
    </row>
    <row r="13" spans="1:85" s="7" customFormat="1" ht="10.199999999999999" customHeight="1" x14ac:dyDescent="0.2">
      <c r="A13" s="182" t="s">
        <v>520</v>
      </c>
      <c r="B13" s="283" t="s">
        <v>351</v>
      </c>
      <c r="C13" s="5"/>
      <c r="D13" s="6"/>
      <c r="E13" s="284">
        <f>IF($D13 = 0,0,DATEDIF($D13,$D$7,"D"))</f>
        <v>0</v>
      </c>
      <c r="F13" s="193">
        <f>((R13*$R$2)+(S13*$S$2)+(T13*$T$2)++(U13*$U$2)++(V13*$V$2)++(W13*$W$2)++(X13*$X$2)++(Y13*$Y$2)+(Z13*$Z$2)+(AA13*$AA$2)+(AB13*$AB$2)+(AC13*$AC$2)+(AD13*$AD$2)+(AE13*$AE$2)+(AF13*$AF$2)+(AG13*$AG$2)+(AH13*$AH$2)+(AI13*$AI$2)+(AJ13*$AJ$2)+(AK13*$AK$2)+(AL13*$AL$2)+(AM13*$AM$2)+(AN13*$AN$2)+(AO13*$AO$2)+(AP13*$AP$2)+(AQ13*$AQ$2)+(AR13*$AR$2)+(AS13*$AS$2)+(AT13*$AT$2)+(AU13*$AU$2)+(AV13*$AV$2)+(AW13*$AW$2))</f>
        <v>0</v>
      </c>
      <c r="G13" s="8" t="s">
        <v>171</v>
      </c>
      <c r="H13" s="9"/>
      <c r="I13" s="9"/>
      <c r="J13" s="9"/>
      <c r="K13" s="93">
        <f>+F13-I13+J13-H13</f>
        <v>0</v>
      </c>
      <c r="L13" s="64">
        <v>0</v>
      </c>
      <c r="M13" s="253">
        <f>+K13-L13</f>
        <v>0</v>
      </c>
      <c r="N13" s="253" t="s">
        <v>549</v>
      </c>
      <c r="O13" s="253">
        <v>0</v>
      </c>
      <c r="P13" s="253">
        <f>+L13-O13</f>
        <v>0</v>
      </c>
      <c r="Q13" s="271" t="s">
        <v>520</v>
      </c>
      <c r="R13" s="5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194">
        <f>IF($G13="Youth 0-3",1,0)</f>
        <v>0</v>
      </c>
      <c r="AY13" s="194">
        <f>IF($G13="Youth 4-11",1,0)</f>
        <v>0</v>
      </c>
      <c r="AZ13" s="194">
        <f>IF($G13="Youth 12-15",1,0)</f>
        <v>0</v>
      </c>
      <c r="BA13" s="194">
        <f>IF($G13="Addict",1,0)</f>
        <v>0</v>
      </c>
      <c r="BB13" s="194">
        <f>IF($G13="Non-Addict",1,0)</f>
        <v>0</v>
      </c>
      <c r="BC13" s="194">
        <f>IF($G13="Free Reg Certificate",1,0)</f>
        <v>0</v>
      </c>
      <c r="BD13" s="194">
        <f>IF($G13="Newcomer",1,0)</f>
        <v>0</v>
      </c>
      <c r="BE13" s="194">
        <f>IF($G13="Committee",1,0)</f>
        <v>0</v>
      </c>
      <c r="BF13" s="194">
        <f>IF($G13="Treatment",1,0)</f>
        <v>0</v>
      </c>
      <c r="BG13" s="194">
        <f>IF($G13="Meeting Sponsored",1,0)</f>
        <v>0</v>
      </c>
      <c r="BH13" s="194">
        <f>IF($G13="Programming",1,0)</f>
        <v>0</v>
      </c>
      <c r="BI13" s="194">
        <f>IF($G13="Hardship",1,0)</f>
        <v>0</v>
      </c>
      <c r="BJ13" s="194">
        <f>IF($G13="Refund",1,0)</f>
        <v>1</v>
      </c>
      <c r="BK13" s="194">
        <f>IF($G13="Vermilion Bucks",1,0)</f>
        <v>0</v>
      </c>
      <c r="BL13" s="194">
        <f>IF($G13="Other",1,0)</f>
        <v>0</v>
      </c>
      <c r="BM13" s="286"/>
      <c r="BN13" s="286"/>
      <c r="BO13" s="286">
        <f>SUM(AX13:BL13)</f>
        <v>1</v>
      </c>
      <c r="BP13" s="287">
        <f>SUM(R13:AW13)</f>
        <v>0</v>
      </c>
      <c r="BQ13" s="287">
        <f>+BO13+BP13</f>
        <v>1</v>
      </c>
    </row>
    <row r="14" spans="1:85" s="7" customFormat="1" x14ac:dyDescent="0.2">
      <c r="A14" s="189" t="s">
        <v>282</v>
      </c>
      <c r="B14" s="187" t="s">
        <v>283</v>
      </c>
      <c r="C14" s="5">
        <v>265</v>
      </c>
      <c r="D14" s="6">
        <v>44032</v>
      </c>
      <c r="E14" s="284">
        <f>IF($D14 = 0,0,DATEDIF($D14,$D$7,"D"))</f>
        <v>418</v>
      </c>
      <c r="F14" s="193">
        <f>((R14*$R$2)+(S14*$S$2)+(T14*$T$2)++(U14*$U$2)++(V14*$V$2)++(W14*$W$2)++(X14*$X$2)++(Y14*$Y$2)+(Z14*$Z$2)+(AA14*$AA$2)+(AB14*$AB$2)+(AC14*$AC$2)+(AD14*$AD$2)+(AE14*$AE$2)+(AF14*$AF$2)+(AG14*$AG$2)+(AH14*$AH$2)+(AI14*$AI$2)+(AJ14*$AJ$2)+(AK14*$AK$2)+(AL14*$AL$2)+(AM14*$AM$2)+(AN14*$AN$2)+(AO14*$AO$2)+(AP14*$AP$2)+(AQ14*$AQ$2)+(AR14*$AR$2)+(AS14*$AS$2)+(AT14*$AT$2)+(AU14*$AU$2)+(AV14*$AV$2)+(AW14*$AW$2))</f>
        <v>125</v>
      </c>
      <c r="G14" s="8" t="s">
        <v>38</v>
      </c>
      <c r="H14" s="9"/>
      <c r="I14" s="9"/>
      <c r="J14" s="9"/>
      <c r="K14" s="93">
        <f>+F14-I14+J14-H14</f>
        <v>125</v>
      </c>
      <c r="L14" s="64">
        <v>125</v>
      </c>
      <c r="M14" s="253">
        <f>+K14-L14</f>
        <v>0</v>
      </c>
      <c r="N14" s="253" t="s">
        <v>545</v>
      </c>
      <c r="O14" s="253">
        <v>125</v>
      </c>
      <c r="P14" s="253">
        <f>+L14-O14</f>
        <v>0</v>
      </c>
      <c r="Q14" s="271" t="s">
        <v>282</v>
      </c>
      <c r="R14" s="5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>
        <v>1</v>
      </c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194">
        <f>IF($G14="Youth 0-3",1,0)</f>
        <v>0</v>
      </c>
      <c r="AY14" s="194">
        <f>IF($G14="Youth 4-11",1,0)</f>
        <v>0</v>
      </c>
      <c r="AZ14" s="194">
        <f>IF($G14="Youth 12-15",1,0)</f>
        <v>0</v>
      </c>
      <c r="BA14" s="194">
        <f>IF($G14="Addict",1,0)</f>
        <v>1</v>
      </c>
      <c r="BB14" s="194">
        <f>IF($G14="Non-Addict",1,0)</f>
        <v>0</v>
      </c>
      <c r="BC14" s="194">
        <f>IF($G14="Free Reg Certificate",1,0)</f>
        <v>0</v>
      </c>
      <c r="BD14" s="194">
        <f>IF($G14="Newcomer",1,0)</f>
        <v>0</v>
      </c>
      <c r="BE14" s="194">
        <f>IF($G14="Committee",1,0)</f>
        <v>0</v>
      </c>
      <c r="BF14" s="194">
        <f>IF($G14="Treatment",1,0)</f>
        <v>0</v>
      </c>
      <c r="BG14" s="194">
        <f>IF($G14="Meeting Sponsored",1,0)</f>
        <v>0</v>
      </c>
      <c r="BH14" s="194">
        <f>IF($G14="Programming",1,0)</f>
        <v>0</v>
      </c>
      <c r="BI14" s="194">
        <f>IF($G14="Hardship",1,0)</f>
        <v>0</v>
      </c>
      <c r="BJ14" s="194">
        <f>IF($G14="Refund",1,0)</f>
        <v>0</v>
      </c>
      <c r="BK14" s="194">
        <f>IF($G14="Vermilion Bucks",1,0)</f>
        <v>0</v>
      </c>
      <c r="BL14" s="194">
        <f>IF($G14="Other",1,0)</f>
        <v>0</v>
      </c>
      <c r="BM14" s="286"/>
      <c r="BN14" s="286"/>
      <c r="BO14" s="286">
        <f>SUM(AX14:BL14)</f>
        <v>1</v>
      </c>
      <c r="BP14" s="287">
        <f>SUM(R14:AW14)</f>
        <v>1</v>
      </c>
      <c r="BQ14" s="287">
        <f>+BO14+BP14</f>
        <v>2</v>
      </c>
    </row>
    <row r="15" spans="1:85" s="7" customFormat="1" x14ac:dyDescent="0.2">
      <c r="A15" s="189" t="s">
        <v>293</v>
      </c>
      <c r="B15" s="187" t="s">
        <v>300</v>
      </c>
      <c r="C15" s="5">
        <v>219</v>
      </c>
      <c r="D15" s="6">
        <v>43820</v>
      </c>
      <c r="E15" s="284">
        <f>IF($D15 = 0,0,DATEDIF($D15,$D$7,"D"))</f>
        <v>630</v>
      </c>
      <c r="F15" s="193">
        <f>((R15*$R$2)+(S15*$S$2)+(T15*$T$2)++(U15*$U$2)++(V15*$V$2)++(W15*$W$2)++(X15*$X$2)++(Y15*$Y$2)+(Z15*$Z$2)+(AA15*$AA$2)+(AB15*$AB$2)+(AC15*$AC$2)+(AD15*$AD$2)+(AE15*$AE$2)+(AF15*$AF$2)+(AG15*$AG$2)+(AH15*$AH$2)+(AI15*$AI$2)+(AJ15*$AJ$2)+(AK15*$AK$2)+(AL15*$AL$2)+(AM15*$AM$2)+(AN15*$AN$2)+(AO15*$AO$2)+(AP15*$AP$2)+(AQ15*$AQ$2)+(AR15*$AR$2)+(AS15*$AS$2)+(AT15*$AT$2)+(AU15*$AU$2)+(AV15*$AV$2)+(AW15*$AW$2))</f>
        <v>100</v>
      </c>
      <c r="G15" s="8" t="s">
        <v>38</v>
      </c>
      <c r="H15" s="9"/>
      <c r="I15" s="9"/>
      <c r="J15" s="9"/>
      <c r="K15" s="93">
        <f>+F15-I15+J15-H15</f>
        <v>100</v>
      </c>
      <c r="L15" s="64">
        <v>100</v>
      </c>
      <c r="M15" s="253">
        <f>+K15-L15</f>
        <v>0</v>
      </c>
      <c r="N15" s="253" t="s">
        <v>545</v>
      </c>
      <c r="O15" s="253">
        <v>100</v>
      </c>
      <c r="P15" s="253">
        <f>+L15-O15</f>
        <v>0</v>
      </c>
      <c r="Q15" s="271" t="s">
        <v>293</v>
      </c>
      <c r="R15" s="5"/>
      <c r="S15" s="8">
        <v>1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194">
        <f>IF($G15="Youth 0-3",1,0)</f>
        <v>0</v>
      </c>
      <c r="AY15" s="194">
        <f>IF($G15="Youth 4-11",1,0)</f>
        <v>0</v>
      </c>
      <c r="AZ15" s="194">
        <f>IF($G15="Youth 12-15",1,0)</f>
        <v>0</v>
      </c>
      <c r="BA15" s="194">
        <f>IF($G15="Addict",1,0)</f>
        <v>1</v>
      </c>
      <c r="BB15" s="194">
        <f>IF($G15="Non-Addict",1,0)</f>
        <v>0</v>
      </c>
      <c r="BC15" s="194">
        <f>IF($G15="Free Reg Certificate",1,0)</f>
        <v>0</v>
      </c>
      <c r="BD15" s="194">
        <f>IF($G15="Newcomer",1,0)</f>
        <v>0</v>
      </c>
      <c r="BE15" s="194">
        <f>IF($G15="Committee",1,0)</f>
        <v>0</v>
      </c>
      <c r="BF15" s="194">
        <f>IF($G15="Treatment",1,0)</f>
        <v>0</v>
      </c>
      <c r="BG15" s="194">
        <f>IF($G15="Meeting Sponsored",1,0)</f>
        <v>0</v>
      </c>
      <c r="BH15" s="194">
        <f>IF($G15="Programming",1,0)</f>
        <v>0</v>
      </c>
      <c r="BI15" s="194">
        <f>IF($G15="Hardship",1,0)</f>
        <v>0</v>
      </c>
      <c r="BJ15" s="194">
        <f>IF($G15="Refund",1,0)</f>
        <v>0</v>
      </c>
      <c r="BK15" s="194">
        <f>IF($G15="Vermilion Bucks",1,0)</f>
        <v>0</v>
      </c>
      <c r="BL15" s="194">
        <f>IF($G15="Other",1,0)</f>
        <v>0</v>
      </c>
      <c r="BM15" s="286"/>
      <c r="BN15" s="286"/>
      <c r="BO15" s="286">
        <f>SUM(AX15:BL15)</f>
        <v>1</v>
      </c>
      <c r="BP15" s="287">
        <f>SUM(R15:AW15)</f>
        <v>1</v>
      </c>
      <c r="BQ15" s="287">
        <f>+BO15+BP15</f>
        <v>2</v>
      </c>
    </row>
    <row r="16" spans="1:85" s="7" customFormat="1" ht="10.199999999999999" customHeight="1" x14ac:dyDescent="0.2">
      <c r="A16" s="189" t="s">
        <v>270</v>
      </c>
      <c r="B16" s="187" t="s">
        <v>266</v>
      </c>
      <c r="C16" s="5">
        <v>265</v>
      </c>
      <c r="D16" s="6">
        <v>43936</v>
      </c>
      <c r="E16" s="284">
        <f>IF($D16 = 0,0,DATEDIF($D16,$D$7,"D"))</f>
        <v>514</v>
      </c>
      <c r="F16" s="193">
        <f>((R16*$R$2)+(S16*$S$2)+(T16*$T$2)++(U16*$U$2)++(V16*$V$2)++(W16*$W$2)++(X16*$X$2)++(Y16*$Y$2)+(Z16*$Z$2)+(AA16*$AA$2)+(AB16*$AB$2)+(AC16*$AC$2)+(AD16*$AD$2)+(AE16*$AE$2)+(AF16*$AF$2)+(AG16*$AG$2)+(AH16*$AH$2)+(AI16*$AI$2)+(AJ16*$AJ$2)+(AK16*$AK$2)+(AL16*$AL$2)+(AM16*$AM$2)+(AN16*$AN$2)+(AO16*$AO$2)+(AP16*$AP$2)+(AQ16*$AQ$2)+(AR16*$AR$2)+(AS16*$AS$2)+(AT16*$AT$2)+(AU16*$AU$2)+(AV16*$AV$2)+(AW16*$AW$2))</f>
        <v>125</v>
      </c>
      <c r="G16" s="8" t="s">
        <v>38</v>
      </c>
      <c r="H16" s="9"/>
      <c r="I16" s="9"/>
      <c r="J16" s="9"/>
      <c r="K16" s="93">
        <f>+F16-I16+J16-H16</f>
        <v>125</v>
      </c>
      <c r="L16" s="64">
        <v>125</v>
      </c>
      <c r="M16" s="253">
        <f>+K16-L16</f>
        <v>0</v>
      </c>
      <c r="N16" s="253" t="s">
        <v>545</v>
      </c>
      <c r="O16" s="253">
        <v>125</v>
      </c>
      <c r="P16" s="253">
        <f>+L16-O16</f>
        <v>0</v>
      </c>
      <c r="Q16" s="271" t="s">
        <v>270</v>
      </c>
      <c r="R16" s="5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>
        <v>1</v>
      </c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194">
        <f>IF($G16="Youth 0-3",1,0)</f>
        <v>0</v>
      </c>
      <c r="AY16" s="194">
        <f>IF($G16="Youth 4-11",1,0)</f>
        <v>0</v>
      </c>
      <c r="AZ16" s="194">
        <f>IF($G16="Youth 12-15",1,0)</f>
        <v>0</v>
      </c>
      <c r="BA16" s="194">
        <f>IF($G16="Addict",1,0)</f>
        <v>1</v>
      </c>
      <c r="BB16" s="194">
        <f>IF($G16="Non-Addict",1,0)</f>
        <v>0</v>
      </c>
      <c r="BC16" s="194">
        <f>IF($G16="Free Reg Certificate",1,0)</f>
        <v>0</v>
      </c>
      <c r="BD16" s="194">
        <f>IF($G16="Newcomer",1,0)</f>
        <v>0</v>
      </c>
      <c r="BE16" s="194">
        <f>IF($G16="Committee",1,0)</f>
        <v>0</v>
      </c>
      <c r="BF16" s="194">
        <f>IF($G16="Treatment",1,0)</f>
        <v>0</v>
      </c>
      <c r="BG16" s="194">
        <f>IF($G16="Meeting Sponsored",1,0)</f>
        <v>0</v>
      </c>
      <c r="BH16" s="194">
        <f>IF($G16="Programming",1,0)</f>
        <v>0</v>
      </c>
      <c r="BI16" s="194">
        <f>IF($G16="Hardship",1,0)</f>
        <v>0</v>
      </c>
      <c r="BJ16" s="194">
        <f>IF($G16="Refund",1,0)</f>
        <v>0</v>
      </c>
      <c r="BK16" s="194">
        <f>IF($G16="Vermilion Bucks",1,0)</f>
        <v>0</v>
      </c>
      <c r="BL16" s="194">
        <f>IF($G16="Other",1,0)</f>
        <v>0</v>
      </c>
      <c r="BM16" s="286"/>
      <c r="BN16" s="286"/>
      <c r="BO16" s="286">
        <f>SUM(AX16:BL16)</f>
        <v>1</v>
      </c>
      <c r="BP16" s="287">
        <f>SUM(R16:AW16)</f>
        <v>1</v>
      </c>
      <c r="BQ16" s="287">
        <f>+BO16+BP16</f>
        <v>2</v>
      </c>
      <c r="BR16" s="241"/>
      <c r="BS16" s="241"/>
      <c r="BT16" s="241"/>
      <c r="BU16" s="241"/>
      <c r="BV16" s="241"/>
      <c r="BW16" s="241"/>
      <c r="BX16" s="241"/>
      <c r="BY16" s="241"/>
      <c r="BZ16" s="241"/>
      <c r="CA16" s="241"/>
      <c r="CB16" s="241"/>
      <c r="CC16" s="241"/>
      <c r="CD16" s="241"/>
      <c r="CE16" s="241"/>
      <c r="CF16" s="241"/>
      <c r="CG16" s="241"/>
    </row>
    <row r="17" spans="1:85" s="7" customFormat="1" x14ac:dyDescent="0.2">
      <c r="A17" s="189" t="s">
        <v>323</v>
      </c>
      <c r="B17" s="187" t="s">
        <v>324</v>
      </c>
      <c r="C17" s="5">
        <v>191</v>
      </c>
      <c r="D17" s="6">
        <v>40386</v>
      </c>
      <c r="E17" s="284">
        <f>IF($D17 = 0,0,DATEDIF($D17,$D$7,"D"))</f>
        <v>4064</v>
      </c>
      <c r="F17" s="193">
        <f>((R17*$R$2)+(S17*$S$2)+(T17*$T$2)++(U17*$U$2)++(V17*$V$2)++(W17*$W$2)++(X17*$X$2)++(Y17*$Y$2)+(Z17*$Z$2)+(AA17*$AA$2)+(AB17*$AB$2)+(AC17*$AC$2)+(AD17*$AD$2)+(AE17*$AE$2)+(AF17*$AF$2)+(AG17*$AG$2)+(AH17*$AH$2)+(AI17*$AI$2)+(AJ17*$AJ$2)+(AK17*$AK$2)+(AL17*$AL$2)+(AM17*$AM$2)+(AN17*$AN$2)+(AO17*$AO$2)+(AP17*$AP$2)+(AQ17*$AQ$2)+(AR17*$AR$2)+(AS17*$AS$2)+(AT17*$AT$2)+(AU17*$AU$2)+(AV17*$AV$2)+(AW17*$AW$2))</f>
        <v>160</v>
      </c>
      <c r="G17" s="8" t="s">
        <v>38</v>
      </c>
      <c r="H17" s="9"/>
      <c r="I17" s="9"/>
      <c r="J17" s="9"/>
      <c r="K17" s="93">
        <f>+F17-I17+J17-H17</f>
        <v>160</v>
      </c>
      <c r="L17" s="64">
        <v>160</v>
      </c>
      <c r="M17" s="253">
        <f>+K17-L17</f>
        <v>0</v>
      </c>
      <c r="N17" s="253" t="s">
        <v>545</v>
      </c>
      <c r="O17" s="253">
        <v>160</v>
      </c>
      <c r="P17" s="253">
        <f>+L17-O17</f>
        <v>0</v>
      </c>
      <c r="Q17" s="271" t="s">
        <v>323</v>
      </c>
      <c r="R17" s="5"/>
      <c r="S17" s="8"/>
      <c r="T17" s="8"/>
      <c r="U17" s="8"/>
      <c r="V17" s="8"/>
      <c r="W17" s="8"/>
      <c r="X17" s="8">
        <v>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194">
        <f>IF($G17="Youth 0-3",1,0)</f>
        <v>0</v>
      </c>
      <c r="AY17" s="194">
        <f>IF($G17="Youth 4-11",1,0)</f>
        <v>0</v>
      </c>
      <c r="AZ17" s="194">
        <f>IF($G17="Youth 12-15",1,0)</f>
        <v>0</v>
      </c>
      <c r="BA17" s="194">
        <f>IF($G17="Addict",1,0)</f>
        <v>1</v>
      </c>
      <c r="BB17" s="194">
        <f>IF($G17="Non-Addict",1,0)</f>
        <v>0</v>
      </c>
      <c r="BC17" s="194">
        <f>IF($G17="Free Reg Certificate",1,0)</f>
        <v>0</v>
      </c>
      <c r="BD17" s="194">
        <f>IF($G17="Newcomer",1,0)</f>
        <v>0</v>
      </c>
      <c r="BE17" s="194">
        <f>IF($G17="Committee",1,0)</f>
        <v>0</v>
      </c>
      <c r="BF17" s="194">
        <f>IF($G17="Treatment",1,0)</f>
        <v>0</v>
      </c>
      <c r="BG17" s="194">
        <f>IF($G17="Meeting Sponsored",1,0)</f>
        <v>0</v>
      </c>
      <c r="BH17" s="194">
        <f>IF($G17="Programming",1,0)</f>
        <v>0</v>
      </c>
      <c r="BI17" s="194">
        <f>IF($G17="Hardship",1,0)</f>
        <v>0</v>
      </c>
      <c r="BJ17" s="194">
        <f>IF($G17="Refund",1,0)</f>
        <v>0</v>
      </c>
      <c r="BK17" s="194">
        <f>IF($G17="Vermilion Bucks",1,0)</f>
        <v>0</v>
      </c>
      <c r="BL17" s="194">
        <f>IF($G17="Other",1,0)</f>
        <v>0</v>
      </c>
      <c r="BM17" s="286"/>
      <c r="BN17" s="286"/>
      <c r="BO17" s="286">
        <f>SUM(AX17:BL17)</f>
        <v>1</v>
      </c>
      <c r="BP17" s="287">
        <f>SUM(R17:AW17)</f>
        <v>1</v>
      </c>
      <c r="BQ17" s="287">
        <f>+BO17+BP17</f>
        <v>2</v>
      </c>
    </row>
    <row r="18" spans="1:85" s="7" customFormat="1" ht="10.199999999999999" customHeight="1" x14ac:dyDescent="0.2">
      <c r="A18" s="189" t="s">
        <v>298</v>
      </c>
      <c r="B18" s="187" t="s">
        <v>308</v>
      </c>
      <c r="C18" s="5">
        <v>167</v>
      </c>
      <c r="D18" s="6">
        <v>32874</v>
      </c>
      <c r="E18" s="284">
        <f>IF($D18 = 0,0,DATEDIF($D18,$D$7,"D"))</f>
        <v>11576</v>
      </c>
      <c r="F18" s="193">
        <f>((R18*$R$2)+(S18*$S$2)+(T18*$T$2)++(U18*$U$2)++(V18*$V$2)++(W18*$W$2)++(X18*$X$2)++(Y18*$Y$2)+(Z18*$Z$2)+(AA18*$AA$2)+(AB18*$AB$2)+(AC18*$AC$2)+(AD18*$AD$2)+(AE18*$AE$2)+(AF18*$AF$2)+(AG18*$AG$2)+(AH18*$AH$2)+(AI18*$AI$2)+(AJ18*$AJ$2)+(AK18*$AK$2)+(AL18*$AL$2)+(AM18*$AM$2)+(AN18*$AN$2)+(AO18*$AO$2)+(AP18*$AP$2)+(AQ18*$AQ$2)+(AR18*$AR$2)+(AS18*$AS$2)+(AT18*$AT$2)+(AU18*$AU$2)+(AV18*$AV$2)+(AW18*$AW$2))</f>
        <v>125</v>
      </c>
      <c r="G18" s="8" t="s">
        <v>38</v>
      </c>
      <c r="H18" s="9"/>
      <c r="I18" s="9"/>
      <c r="J18" s="9"/>
      <c r="K18" s="93">
        <f>+F18-I18+J18-H18</f>
        <v>125</v>
      </c>
      <c r="L18" s="64">
        <v>125</v>
      </c>
      <c r="M18" s="253">
        <f>+K18-L18</f>
        <v>0</v>
      </c>
      <c r="N18" s="253" t="s">
        <v>545</v>
      </c>
      <c r="O18" s="253">
        <v>125</v>
      </c>
      <c r="P18" s="253">
        <f>+L18-O18</f>
        <v>0</v>
      </c>
      <c r="Q18" s="271" t="s">
        <v>298</v>
      </c>
      <c r="R18" s="5"/>
      <c r="S18" s="8"/>
      <c r="T18" s="8"/>
      <c r="U18" s="8"/>
      <c r="V18" s="8"/>
      <c r="W18" s="8"/>
      <c r="X18" s="8"/>
      <c r="Y18" s="8"/>
      <c r="Z18" s="8"/>
      <c r="AA18" s="8"/>
      <c r="AB18" s="8">
        <v>1</v>
      </c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194">
        <f>IF($G18="Youth 0-3",1,0)</f>
        <v>0</v>
      </c>
      <c r="AY18" s="194">
        <f>IF($G18="Youth 4-11",1,0)</f>
        <v>0</v>
      </c>
      <c r="AZ18" s="194">
        <f>IF($G18="Youth 12-15",1,0)</f>
        <v>0</v>
      </c>
      <c r="BA18" s="194">
        <f>IF($G18="Addict",1,0)</f>
        <v>1</v>
      </c>
      <c r="BB18" s="194">
        <f>IF($G18="Non-Addict",1,0)</f>
        <v>0</v>
      </c>
      <c r="BC18" s="194">
        <f>IF($G18="Free Reg Certificate",1,0)</f>
        <v>0</v>
      </c>
      <c r="BD18" s="194">
        <f>IF($G18="Newcomer",1,0)</f>
        <v>0</v>
      </c>
      <c r="BE18" s="194">
        <f>IF($G18="Committee",1,0)</f>
        <v>0</v>
      </c>
      <c r="BF18" s="194">
        <f>IF($G18="Treatment",1,0)</f>
        <v>0</v>
      </c>
      <c r="BG18" s="194">
        <f>IF($G18="Meeting Sponsored",1,0)</f>
        <v>0</v>
      </c>
      <c r="BH18" s="194">
        <f>IF($G18="Programming",1,0)</f>
        <v>0</v>
      </c>
      <c r="BI18" s="194">
        <f>IF($G18="Hardship",1,0)</f>
        <v>0</v>
      </c>
      <c r="BJ18" s="194">
        <f>IF($G18="Refund",1,0)</f>
        <v>0</v>
      </c>
      <c r="BK18" s="194">
        <f>IF($G18="Vermilion Bucks",1,0)</f>
        <v>0</v>
      </c>
      <c r="BL18" s="194">
        <f>IF($G18="Other",1,0)</f>
        <v>0</v>
      </c>
      <c r="BM18" s="286"/>
      <c r="BN18" s="286"/>
      <c r="BO18" s="286">
        <f>SUM(AX18:BL18)</f>
        <v>1</v>
      </c>
      <c r="BP18" s="287">
        <f>SUM(R18:AW18)</f>
        <v>1</v>
      </c>
      <c r="BQ18" s="287">
        <f>+BO18+BP18</f>
        <v>2</v>
      </c>
    </row>
    <row r="19" spans="1:85" s="7" customFormat="1" ht="10.199999999999999" customHeight="1" x14ac:dyDescent="0.2">
      <c r="A19" s="182" t="s">
        <v>244</v>
      </c>
      <c r="B19" s="177" t="s">
        <v>245</v>
      </c>
      <c r="C19" s="5">
        <v>177</v>
      </c>
      <c r="D19" s="6">
        <v>42422</v>
      </c>
      <c r="E19" s="284">
        <f>IF($D19 = 0,0,DATEDIF($D19,$D$7,"D"))</f>
        <v>2028</v>
      </c>
      <c r="F19" s="193">
        <f>((R19*$R$2)+(S19*$S$2)+(T19*$T$2)++(U19*$U$2)++(V19*$V$2)++(W19*$W$2)++(X19*$X$2)++(Y19*$Y$2)+(Z19*$Z$2)+(AA19*$AA$2)+(AB19*$AB$2)+(AC19*$AC$2)+(AD19*$AD$2)+(AE19*$AE$2)+(AF19*$AF$2)+(AG19*$AG$2)+(AH19*$AH$2)+(AI19*$AI$2)+(AJ19*$AJ$2)+(AK19*$AK$2)+(AL19*$AL$2)+(AM19*$AM$2)+(AN19*$AN$2)+(AO19*$AO$2)+(AP19*$AP$2)+(AQ19*$AQ$2)+(AR19*$AR$2)+(AS19*$AS$2)+(AT19*$AT$2)+(AU19*$AU$2)+(AV19*$AV$2)+(AW19*$AW$2))</f>
        <v>160</v>
      </c>
      <c r="G19" s="8" t="s">
        <v>6</v>
      </c>
      <c r="H19" s="9"/>
      <c r="I19" s="9"/>
      <c r="J19" s="9"/>
      <c r="K19" s="93">
        <f>+F19-I19+J19-H19</f>
        <v>160</v>
      </c>
      <c r="L19" s="254">
        <v>160</v>
      </c>
      <c r="M19" s="251">
        <f>+K19-L19</f>
        <v>0</v>
      </c>
      <c r="N19" s="251" t="s">
        <v>545</v>
      </c>
      <c r="O19" s="251">
        <v>125</v>
      </c>
      <c r="P19" s="251">
        <f>+L19-O19</f>
        <v>35</v>
      </c>
      <c r="Q19" s="285" t="s">
        <v>244</v>
      </c>
      <c r="R19" s="5"/>
      <c r="S19" s="8"/>
      <c r="T19" s="8"/>
      <c r="U19" s="8"/>
      <c r="V19" s="8">
        <v>1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194">
        <f>IF($G19="Youth 0-3",1,0)</f>
        <v>0</v>
      </c>
      <c r="AY19" s="194">
        <f>IF($G19="Youth 4-11",1,0)</f>
        <v>0</v>
      </c>
      <c r="AZ19" s="194">
        <f>IF($G19="Youth 12-15",1,0)</f>
        <v>0</v>
      </c>
      <c r="BA19" s="194">
        <f>IF($G19="Addict",1,0)</f>
        <v>0</v>
      </c>
      <c r="BB19" s="194">
        <f>IF($G19="Non-Addict",1,0)</f>
        <v>0</v>
      </c>
      <c r="BC19" s="194">
        <f>IF($G19="Free Reg Certificate",1,0)</f>
        <v>0</v>
      </c>
      <c r="BD19" s="194">
        <f>IF($G19="Newcomer",1,0)</f>
        <v>0</v>
      </c>
      <c r="BE19" s="194">
        <f>IF($G19="Committee",1,0)</f>
        <v>1</v>
      </c>
      <c r="BF19" s="194">
        <f>IF($G19="Treatment",1,0)</f>
        <v>0</v>
      </c>
      <c r="BG19" s="194">
        <f>IF($G19="Meeting Sponsored",1,0)</f>
        <v>0</v>
      </c>
      <c r="BH19" s="194">
        <f>IF($G19="Programming",1,0)</f>
        <v>0</v>
      </c>
      <c r="BI19" s="194">
        <f>IF($G19="Hardship",1,0)</f>
        <v>0</v>
      </c>
      <c r="BJ19" s="194">
        <f>IF($G19="Refund",1,0)</f>
        <v>0</v>
      </c>
      <c r="BK19" s="194">
        <f>IF($G19="Vermilion Bucks",1,0)</f>
        <v>0</v>
      </c>
      <c r="BL19" s="194">
        <f>IF($G19="Other",1,0)</f>
        <v>0</v>
      </c>
      <c r="BM19" s="286"/>
      <c r="BN19" s="286"/>
      <c r="BO19" s="286">
        <f>SUM(AX19:BL19)</f>
        <v>1</v>
      </c>
      <c r="BP19" s="287">
        <f>SUM(R19:AW19)</f>
        <v>1</v>
      </c>
      <c r="BQ19" s="287">
        <f>+BO19+BP19</f>
        <v>2</v>
      </c>
    </row>
    <row r="20" spans="1:85" s="7" customFormat="1" ht="9" customHeight="1" x14ac:dyDescent="0.2">
      <c r="A20" s="276" t="s">
        <v>338</v>
      </c>
      <c r="B20" s="187" t="s">
        <v>339</v>
      </c>
      <c r="C20" s="5">
        <v>237</v>
      </c>
      <c r="D20" s="6">
        <v>44312</v>
      </c>
      <c r="E20" s="284">
        <f>IF($D20 = 0,0,DATEDIF($D20,$D$7,"D"))</f>
        <v>138</v>
      </c>
      <c r="F20" s="193">
        <f>((R20*$R$2)+(S20*$S$2)+(T20*$T$2)++(U20*$U$2)++(V20*$V$2)++(W20*$W$2)++(X20*$X$2)++(Y20*$Y$2)+(Z20*$Z$2)+(AA20*$AA$2)+(AB20*$AB$2)+(AC20*$AC$2)+(AD20*$AD$2)+(AE20*$AE$2)+(AF20*$AF$2)+(AG20*$AG$2)+(AH20*$AH$2)+(AI20*$AI$2)+(AJ20*$AJ$2)+(AK20*$AK$2)+(AL20*$AL$2)+(AM20*$AM$2)+(AN20*$AN$2)+(AO20*$AO$2)+(AP20*$AP$2)+(AQ20*$AQ$2)+(AR20*$AR$2)+(AS20*$AS$2)+(AT20*$AT$2)+(AU20*$AU$2)+(AV20*$AV$2)+(AW20*$AW$2))</f>
        <v>100</v>
      </c>
      <c r="G20" s="8" t="s">
        <v>38</v>
      </c>
      <c r="H20" s="9"/>
      <c r="I20" s="9"/>
      <c r="J20" s="9"/>
      <c r="K20" s="93">
        <f>+F20-I20+J20-H20</f>
        <v>100</v>
      </c>
      <c r="L20" s="64">
        <v>100</v>
      </c>
      <c r="M20" s="253">
        <f>+K20-L20</f>
        <v>0</v>
      </c>
      <c r="N20" s="253" t="s">
        <v>545</v>
      </c>
      <c r="O20" s="253">
        <v>100</v>
      </c>
      <c r="P20" s="253">
        <f>+L20-O20</f>
        <v>0</v>
      </c>
      <c r="Q20" s="271" t="s">
        <v>338</v>
      </c>
      <c r="R20" s="5"/>
      <c r="S20" s="8">
        <v>1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194">
        <f>IF($G20="Youth 0-3",1,0)</f>
        <v>0</v>
      </c>
      <c r="AY20" s="194">
        <f>IF($G20="Youth 4-11",1,0)</f>
        <v>0</v>
      </c>
      <c r="AZ20" s="194">
        <f>IF($G20="Youth 12-15",1,0)</f>
        <v>0</v>
      </c>
      <c r="BA20" s="194">
        <f>IF($G20="Addict",1,0)</f>
        <v>1</v>
      </c>
      <c r="BB20" s="194">
        <f>IF($G20="Non-Addict",1,0)</f>
        <v>0</v>
      </c>
      <c r="BC20" s="194">
        <f>IF($G20="Free Reg Certificate",1,0)</f>
        <v>0</v>
      </c>
      <c r="BD20" s="194">
        <f>IF($G20="Newcomer",1,0)</f>
        <v>0</v>
      </c>
      <c r="BE20" s="194">
        <f>IF($G20="Committee",1,0)</f>
        <v>0</v>
      </c>
      <c r="BF20" s="194">
        <f>IF($G20="Treatment",1,0)</f>
        <v>0</v>
      </c>
      <c r="BG20" s="194">
        <f>IF($G20="Meeting Sponsored",1,0)</f>
        <v>0</v>
      </c>
      <c r="BH20" s="194">
        <f>IF($G20="Programming",1,0)</f>
        <v>0</v>
      </c>
      <c r="BI20" s="194">
        <f>IF($G20="Hardship",1,0)</f>
        <v>0</v>
      </c>
      <c r="BJ20" s="194">
        <f>IF($G20="Refund",1,0)</f>
        <v>0</v>
      </c>
      <c r="BK20" s="194">
        <f>IF($G20="Vermilion Bucks",1,0)</f>
        <v>0</v>
      </c>
      <c r="BL20" s="194">
        <f>IF($G20="Other",1,0)</f>
        <v>0</v>
      </c>
      <c r="BM20" s="286"/>
      <c r="BN20" s="286"/>
      <c r="BO20" s="286">
        <f>SUM(AX20:BL20)</f>
        <v>1</v>
      </c>
      <c r="BP20" s="287">
        <f>SUM(R20:AW20)</f>
        <v>1</v>
      </c>
      <c r="BQ20" s="287">
        <f>+BO20+BP20</f>
        <v>2</v>
      </c>
    </row>
    <row r="21" spans="1:85" s="7" customFormat="1" x14ac:dyDescent="0.2">
      <c r="A21" s="189" t="s">
        <v>325</v>
      </c>
      <c r="B21" s="187" t="s">
        <v>326</v>
      </c>
      <c r="C21" s="5">
        <v>100</v>
      </c>
      <c r="D21" s="6">
        <v>44287</v>
      </c>
      <c r="E21" s="284">
        <f>IF($D21 = 0,0,DATEDIF($D21,$D$7,"D"))</f>
        <v>163</v>
      </c>
      <c r="F21" s="193">
        <f>((R21*$R$2)+(S21*$S$2)+(T21*$T$2)++(U21*$U$2)++(V21*$V$2)++(W21*$W$2)++(X21*$X$2)++(Y21*$Y$2)+(Z21*$Z$2)+(AA21*$AA$2)+(AB21*$AB$2)+(AC21*$AC$2)+(AD21*$AD$2)+(AE21*$AE$2)+(AF21*$AF$2)+(AG21*$AG$2)+(AH21*$AH$2)+(AI21*$AI$2)+(AJ21*$AJ$2)+(AK21*$AK$2)+(AL21*$AL$2)+(AM21*$AM$2)+(AN21*$AN$2)+(AO21*$AO$2)+(AP21*$AP$2)+(AQ21*$AQ$2)+(AR21*$AR$2)+(AS21*$AS$2)+(AT21*$AT$2)+(AU21*$AU$2)+(AV21*$AV$2)+(AW21*$AW$2))</f>
        <v>160</v>
      </c>
      <c r="G21" s="8" t="s">
        <v>38</v>
      </c>
      <c r="H21" s="9"/>
      <c r="I21" s="9"/>
      <c r="J21" s="9"/>
      <c r="K21" s="93">
        <f>+F21-I21+J21-H21</f>
        <v>160</v>
      </c>
      <c r="L21" s="64">
        <v>160</v>
      </c>
      <c r="M21" s="253">
        <f>+K21-L21</f>
        <v>0</v>
      </c>
      <c r="N21" s="253" t="s">
        <v>545</v>
      </c>
      <c r="O21" s="253">
        <v>160</v>
      </c>
      <c r="P21" s="253">
        <f>+L21-O21</f>
        <v>0</v>
      </c>
      <c r="Q21" s="271" t="s">
        <v>325</v>
      </c>
      <c r="R21" s="5"/>
      <c r="S21" s="8"/>
      <c r="T21" s="8"/>
      <c r="U21" s="8"/>
      <c r="V21" s="8">
        <v>1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194">
        <f>IF($G21="Youth 0-3",1,0)</f>
        <v>0</v>
      </c>
      <c r="AY21" s="194">
        <f>IF($G21="Youth 4-11",1,0)</f>
        <v>0</v>
      </c>
      <c r="AZ21" s="194">
        <f>IF($G21="Youth 12-15",1,0)</f>
        <v>0</v>
      </c>
      <c r="BA21" s="194">
        <f>IF($G21="Addict",1,0)</f>
        <v>1</v>
      </c>
      <c r="BB21" s="194">
        <f>IF($G21="Non-Addict",1,0)</f>
        <v>0</v>
      </c>
      <c r="BC21" s="194">
        <f>IF($G21="Free Reg Certificate",1,0)</f>
        <v>0</v>
      </c>
      <c r="BD21" s="194">
        <f>IF($G21="Newcomer",1,0)</f>
        <v>0</v>
      </c>
      <c r="BE21" s="194">
        <f>IF($G21="Committee",1,0)</f>
        <v>0</v>
      </c>
      <c r="BF21" s="194">
        <f>IF($G21="Treatment",1,0)</f>
        <v>0</v>
      </c>
      <c r="BG21" s="194">
        <f>IF($G21="Meeting Sponsored",1,0)</f>
        <v>0</v>
      </c>
      <c r="BH21" s="194">
        <f>IF($G21="Programming",1,0)</f>
        <v>0</v>
      </c>
      <c r="BI21" s="194">
        <f>IF($G21="Hardship",1,0)</f>
        <v>0</v>
      </c>
      <c r="BJ21" s="194">
        <f>IF($G21="Refund",1,0)</f>
        <v>0</v>
      </c>
      <c r="BK21" s="194">
        <f>IF($G21="Vermilion Bucks",1,0)</f>
        <v>0</v>
      </c>
      <c r="BL21" s="194">
        <f>IF($G21="Other",1,0)</f>
        <v>0</v>
      </c>
      <c r="BM21" s="286"/>
      <c r="BN21" s="286"/>
      <c r="BO21" s="286">
        <f>SUM(AX21:BL21)</f>
        <v>1</v>
      </c>
      <c r="BP21" s="287">
        <f>SUM(R21:AW21)</f>
        <v>1</v>
      </c>
      <c r="BQ21" s="287">
        <f>+BO21+BP21</f>
        <v>2</v>
      </c>
    </row>
    <row r="22" spans="1:85" s="7" customFormat="1" ht="10.199999999999999" customHeight="1" x14ac:dyDescent="0.2">
      <c r="A22" s="189" t="s">
        <v>408</v>
      </c>
      <c r="B22" s="187"/>
      <c r="C22" s="5">
        <v>229</v>
      </c>
      <c r="D22" s="6">
        <v>44093</v>
      </c>
      <c r="E22" s="284">
        <f>IF($D22 = 0,0,DATEDIF($D22,$D$7,"D"))</f>
        <v>357</v>
      </c>
      <c r="F22" s="193">
        <f>((R22*$R$2)+(S22*$S$2)+(T22*$T$2)++(U22*$U$2)++(V22*$V$2)++(W22*$W$2)++(X22*$X$2)++(Y22*$Y$2)+(Z22*$Z$2)+(AA22*$AA$2)+(AB22*$AB$2)+(AC22*$AC$2)+(AD22*$AD$2)+(AE22*$AE$2)+(AF22*$AF$2)+(AG22*$AG$2)+(AH22*$AH$2)+(AI22*$AI$2)+(AJ22*$AJ$2)+(AK22*$AK$2)+(AL22*$AL$2)+(AM22*$AM$2)+(AN22*$AN$2)+(AO22*$AO$2)+(AP22*$AP$2)+(AQ22*$AQ$2)+(AR22*$AR$2)+(AS22*$AS$2)+(AT22*$AT$2)+(AU22*$AU$2)+(AV22*$AV$2)+(AW22*$AW$2))</f>
        <v>140</v>
      </c>
      <c r="G22" s="8" t="s">
        <v>38</v>
      </c>
      <c r="H22" s="9"/>
      <c r="I22" s="9"/>
      <c r="J22" s="9"/>
      <c r="K22" s="93">
        <f>+F22-I22+J22-H22</f>
        <v>140</v>
      </c>
      <c r="L22" s="64">
        <v>140</v>
      </c>
      <c r="M22" s="253">
        <f>+K22-L22</f>
        <v>0</v>
      </c>
      <c r="N22" s="253" t="s">
        <v>545</v>
      </c>
      <c r="O22" s="253">
        <v>140</v>
      </c>
      <c r="P22" s="253">
        <f>+L22-O22</f>
        <v>0</v>
      </c>
      <c r="Q22" s="291" t="s">
        <v>284</v>
      </c>
      <c r="R22" s="5"/>
      <c r="S22" s="8"/>
      <c r="T22" s="8"/>
      <c r="U22" s="8"/>
      <c r="V22" s="8"/>
      <c r="W22" s="8"/>
      <c r="X22" s="8"/>
      <c r="Y22" s="8"/>
      <c r="Z22" s="8">
        <v>1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194">
        <f>IF($G22="Youth 0-3",1,0)</f>
        <v>0</v>
      </c>
      <c r="AY22" s="194">
        <f>IF($G22="Youth 4-11",1,0)</f>
        <v>0</v>
      </c>
      <c r="AZ22" s="194">
        <f>IF($G22="Youth 12-15",1,0)</f>
        <v>0</v>
      </c>
      <c r="BA22" s="194">
        <f>IF($G22="Addict",1,0)</f>
        <v>1</v>
      </c>
      <c r="BB22" s="194">
        <f>IF($G22="Non-Addict",1,0)</f>
        <v>0</v>
      </c>
      <c r="BC22" s="194">
        <f>IF($G22="Free Reg Certificate",1,0)</f>
        <v>0</v>
      </c>
      <c r="BD22" s="194">
        <f>IF($G22="Newcomer",1,0)</f>
        <v>0</v>
      </c>
      <c r="BE22" s="194">
        <f>IF($G22="Committee",1,0)</f>
        <v>0</v>
      </c>
      <c r="BF22" s="194">
        <f>IF($G22="Treatment",1,0)</f>
        <v>0</v>
      </c>
      <c r="BG22" s="194">
        <f>IF($G22="Meeting Sponsored",1,0)</f>
        <v>0</v>
      </c>
      <c r="BH22" s="194">
        <f>IF($G22="Programming",1,0)</f>
        <v>0</v>
      </c>
      <c r="BI22" s="194">
        <f>IF($G22="Hardship",1,0)</f>
        <v>0</v>
      </c>
      <c r="BJ22" s="194">
        <f>IF($G22="Refund",1,0)</f>
        <v>0</v>
      </c>
      <c r="BK22" s="194">
        <f>IF($G22="Vermilion Bucks",1,0)</f>
        <v>0</v>
      </c>
      <c r="BL22" s="194">
        <f>IF($G22="Other",1,0)</f>
        <v>0</v>
      </c>
      <c r="BM22" s="286"/>
      <c r="BN22" s="286"/>
      <c r="BO22" s="286">
        <f>SUM(AX22:BL22)</f>
        <v>1</v>
      </c>
      <c r="BP22" s="287">
        <f>SUM(R22:AW22)</f>
        <v>1</v>
      </c>
      <c r="BQ22" s="287">
        <f>+BO22+BP22</f>
        <v>2</v>
      </c>
    </row>
    <row r="23" spans="1:85" s="7" customFormat="1" ht="10.199999999999999" customHeight="1" x14ac:dyDescent="0.2">
      <c r="A23" s="189" t="s">
        <v>284</v>
      </c>
      <c r="B23" s="187" t="s">
        <v>285</v>
      </c>
      <c r="C23" s="5">
        <v>229</v>
      </c>
      <c r="D23" s="6">
        <v>36928</v>
      </c>
      <c r="E23" s="284">
        <f>IF($D23 = 0,0,DATEDIF($D23,$D$7,"D"))</f>
        <v>7522</v>
      </c>
      <c r="F23" s="193">
        <f>((R23*$R$2)+(S23*$S$2)+(T23*$T$2)++(U23*$U$2)++(V23*$V$2)++(W23*$W$2)++(X23*$X$2)++(Y23*$Y$2)+(Z23*$Z$2)+(AA23*$AA$2)+(AB23*$AB$2)+(AC23*$AC$2)+(AD23*$AD$2)+(AE23*$AE$2)+(AF23*$AF$2)+(AG23*$AG$2)+(AH23*$AH$2)+(AI23*$AI$2)+(AJ23*$AJ$2)+(AK23*$AK$2)+(AL23*$AL$2)+(AM23*$AM$2)+(AN23*$AN$2)+(AO23*$AO$2)+(AP23*$AP$2)+(AQ23*$AQ$2)+(AR23*$AR$2)+(AS23*$AS$2)+(AT23*$AT$2)+(AU23*$AU$2)+(AV23*$AV$2)+(AW23*$AW$2))</f>
        <v>140</v>
      </c>
      <c r="G23" s="8" t="s">
        <v>38</v>
      </c>
      <c r="H23" s="9"/>
      <c r="I23" s="9"/>
      <c r="J23" s="9"/>
      <c r="K23" s="93">
        <f>+F23-I23+J23-H23</f>
        <v>140</v>
      </c>
      <c r="L23" s="64">
        <v>140</v>
      </c>
      <c r="M23" s="253">
        <f>+K23-L23</f>
        <v>0</v>
      </c>
      <c r="N23" s="253" t="s">
        <v>545</v>
      </c>
      <c r="O23" s="253">
        <v>140</v>
      </c>
      <c r="P23" s="253">
        <f>+L23-O23</f>
        <v>0</v>
      </c>
      <c r="Q23" s="291" t="s">
        <v>284</v>
      </c>
      <c r="R23" s="5"/>
      <c r="S23" s="8"/>
      <c r="T23" s="8"/>
      <c r="U23" s="8"/>
      <c r="V23" s="8"/>
      <c r="W23" s="8"/>
      <c r="X23" s="8"/>
      <c r="Y23" s="8"/>
      <c r="Z23" s="8">
        <v>1</v>
      </c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194">
        <f>IF($G23="Youth 0-3",1,0)</f>
        <v>0</v>
      </c>
      <c r="AY23" s="194">
        <f>IF($G23="Youth 4-11",1,0)</f>
        <v>0</v>
      </c>
      <c r="AZ23" s="194">
        <f>IF($G23="Youth 12-15",1,0)</f>
        <v>0</v>
      </c>
      <c r="BA23" s="194">
        <f>IF($G23="Addict",1,0)</f>
        <v>1</v>
      </c>
      <c r="BB23" s="194">
        <f>IF($G23="Non-Addict",1,0)</f>
        <v>0</v>
      </c>
      <c r="BC23" s="194">
        <f>IF($G23="Free Reg Certificate",1,0)</f>
        <v>0</v>
      </c>
      <c r="BD23" s="194">
        <f>IF($G23="Newcomer",1,0)</f>
        <v>0</v>
      </c>
      <c r="BE23" s="194">
        <f>IF($G23="Committee",1,0)</f>
        <v>0</v>
      </c>
      <c r="BF23" s="194">
        <f>IF($G23="Treatment",1,0)</f>
        <v>0</v>
      </c>
      <c r="BG23" s="194">
        <f>IF($G23="Meeting Sponsored",1,0)</f>
        <v>0</v>
      </c>
      <c r="BH23" s="194">
        <f>IF($G23="Programming",1,0)</f>
        <v>0</v>
      </c>
      <c r="BI23" s="194">
        <f>IF($G23="Hardship",1,0)</f>
        <v>0</v>
      </c>
      <c r="BJ23" s="194">
        <f>IF($G23="Refund",1,0)</f>
        <v>0</v>
      </c>
      <c r="BK23" s="194">
        <f>IF($G23="Vermilion Bucks",1,0)</f>
        <v>0</v>
      </c>
      <c r="BL23" s="194">
        <f>IF($G23="Other",1,0)</f>
        <v>0</v>
      </c>
      <c r="BM23" s="286"/>
      <c r="BN23" s="286"/>
      <c r="BO23" s="286">
        <f>SUM(AX23:BL23)</f>
        <v>1</v>
      </c>
      <c r="BP23" s="287">
        <f>SUM(R23:AW23)</f>
        <v>1</v>
      </c>
      <c r="BQ23" s="287">
        <f>+BO23+BP23</f>
        <v>2</v>
      </c>
    </row>
    <row r="24" spans="1:85" s="7" customFormat="1" ht="10.199999999999999" customHeight="1" x14ac:dyDescent="0.2">
      <c r="A24" s="189" t="s">
        <v>284</v>
      </c>
      <c r="B24" s="187"/>
      <c r="C24" s="5">
        <v>229</v>
      </c>
      <c r="D24" s="6"/>
      <c r="E24" s="284">
        <f>IF($D24 = 0,0,DATEDIF($D24,$D$7,"D"))</f>
        <v>0</v>
      </c>
      <c r="F24" s="193">
        <f>((R24*$R$2)+(S24*$S$2)+(T24*$T$2)++(U24*$U$2)++(V24*$V$2)++(W24*$W$2)++(X24*$X$2)++(Y24*$Y$2)+(Z24*$Z$2)+(AA24*$AA$2)+(AB24*$AB$2)+(AC24*$AC$2)+(AD24*$AD$2)+(AE24*$AE$2)+(AF24*$AF$2)+(AG24*$AG$2)+(AH24*$AH$2)+(AI24*$AI$2)+(AJ24*$AJ$2)+(AK24*$AK$2)+(AL24*$AL$2)+(AM24*$AM$2)+(AN24*$AN$2)+(AO24*$AO$2)+(AP24*$AP$2)+(AQ24*$AQ$2)+(AR24*$AR$2)+(AS24*$AS$2)+(AT24*$AT$2)+(AU24*$AU$2)+(AV24*$AV$2)+(AW24*$AW$2))</f>
        <v>140</v>
      </c>
      <c r="G24" s="8" t="s">
        <v>97</v>
      </c>
      <c r="H24" s="9"/>
      <c r="I24" s="9"/>
      <c r="J24" s="9"/>
      <c r="K24" s="93">
        <f>+F24-I24+J24-H24</f>
        <v>140</v>
      </c>
      <c r="L24" s="64">
        <v>140</v>
      </c>
      <c r="M24" s="253">
        <f>+K24-L24</f>
        <v>0</v>
      </c>
      <c r="N24" s="253" t="s">
        <v>545</v>
      </c>
      <c r="O24" s="253">
        <v>140</v>
      </c>
      <c r="P24" s="253">
        <f>+L24-O24</f>
        <v>0</v>
      </c>
      <c r="Q24" s="291" t="s">
        <v>284</v>
      </c>
      <c r="R24" s="5"/>
      <c r="S24" s="8"/>
      <c r="T24" s="8"/>
      <c r="U24" s="8"/>
      <c r="V24" s="8"/>
      <c r="W24" s="8"/>
      <c r="X24" s="8"/>
      <c r="Y24" s="8"/>
      <c r="Z24" s="8">
        <v>1</v>
      </c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194">
        <f>IF($G24="Youth 0-3",1,0)</f>
        <v>0</v>
      </c>
      <c r="AY24" s="194">
        <f>IF($G24="Youth 4-11",1,0)</f>
        <v>0</v>
      </c>
      <c r="AZ24" s="194">
        <f>IF($G24="Youth 12-15",1,0)</f>
        <v>1</v>
      </c>
      <c r="BA24" s="194">
        <f>IF($G24="Addict",1,0)</f>
        <v>0</v>
      </c>
      <c r="BB24" s="194">
        <f>IF($G24="Non-Addict",1,0)</f>
        <v>0</v>
      </c>
      <c r="BC24" s="194">
        <f>IF($G24="Free Reg Certificate",1,0)</f>
        <v>0</v>
      </c>
      <c r="BD24" s="194">
        <f>IF($G24="Newcomer",1,0)</f>
        <v>0</v>
      </c>
      <c r="BE24" s="194">
        <f>IF($G24="Committee",1,0)</f>
        <v>0</v>
      </c>
      <c r="BF24" s="194">
        <f>IF($G24="Treatment",1,0)</f>
        <v>0</v>
      </c>
      <c r="BG24" s="194">
        <f>IF($G24="Meeting Sponsored",1,0)</f>
        <v>0</v>
      </c>
      <c r="BH24" s="194">
        <f>IF($G24="Programming",1,0)</f>
        <v>0</v>
      </c>
      <c r="BI24" s="194">
        <f>IF($G24="Hardship",1,0)</f>
        <v>0</v>
      </c>
      <c r="BJ24" s="194">
        <f>IF($G24="Refund",1,0)</f>
        <v>0</v>
      </c>
      <c r="BK24" s="194">
        <f>IF($G24="Vermilion Bucks",1,0)</f>
        <v>0</v>
      </c>
      <c r="BL24" s="194">
        <f>IF($G24="Other",1,0)</f>
        <v>0</v>
      </c>
      <c r="BM24" s="286"/>
      <c r="BN24" s="286"/>
      <c r="BO24" s="286">
        <f>SUM(AX24:BL24)</f>
        <v>1</v>
      </c>
      <c r="BP24" s="287">
        <f>SUM(R24:AW24)</f>
        <v>1</v>
      </c>
      <c r="BQ24" s="287">
        <f>+BO24+BP24</f>
        <v>2</v>
      </c>
    </row>
    <row r="25" spans="1:85" s="7" customFormat="1" ht="10.199999999999999" customHeight="1" x14ac:dyDescent="0.2">
      <c r="A25" s="189" t="s">
        <v>406</v>
      </c>
      <c r="B25" s="187"/>
      <c r="C25" s="5">
        <v>229</v>
      </c>
      <c r="D25" s="6">
        <v>44160</v>
      </c>
      <c r="E25" s="284">
        <f>IF($D25 = 0,0,DATEDIF($D25,$D$7,"D"))</f>
        <v>290</v>
      </c>
      <c r="F25" s="193">
        <f>((R25*$R$2)+(S25*$S$2)+(T25*$T$2)++(U25*$U$2)++(V25*$V$2)++(W25*$W$2)++(X25*$X$2)++(Y25*$Y$2)+(Z25*$Z$2)+(AA25*$AA$2)+(AB25*$AB$2)+(AC25*$AC$2)+(AD25*$AD$2)+(AE25*$AE$2)+(AF25*$AF$2)+(AG25*$AG$2)+(AH25*$AH$2)+(AI25*$AI$2)+(AJ25*$AJ$2)+(AK25*$AK$2)+(AL25*$AL$2)+(AM25*$AM$2)+(AN25*$AN$2)+(AO25*$AO$2)+(AP25*$AP$2)+(AQ25*$AQ$2)+(AR25*$AR$2)+(AS25*$AS$2)+(AT25*$AT$2)+(AU25*$AU$2)+(AV25*$AV$2)+(AW25*$AW$2))</f>
        <v>140</v>
      </c>
      <c r="G25" s="8" t="s">
        <v>38</v>
      </c>
      <c r="H25" s="9"/>
      <c r="I25" s="9"/>
      <c r="J25" s="9"/>
      <c r="K25" s="93">
        <f>+F25-I25+J25-H25</f>
        <v>140</v>
      </c>
      <c r="L25" s="64">
        <v>140</v>
      </c>
      <c r="M25" s="253">
        <f>+K25-L25</f>
        <v>0</v>
      </c>
      <c r="N25" s="253" t="s">
        <v>545</v>
      </c>
      <c r="O25" s="253">
        <v>140</v>
      </c>
      <c r="P25" s="253">
        <f>+L25-O25</f>
        <v>0</v>
      </c>
      <c r="Q25" s="291" t="s">
        <v>284</v>
      </c>
      <c r="R25" s="5"/>
      <c r="S25" s="8"/>
      <c r="T25" s="8"/>
      <c r="U25" s="8"/>
      <c r="V25" s="8"/>
      <c r="W25" s="8"/>
      <c r="X25" s="8"/>
      <c r="Y25" s="8"/>
      <c r="Z25" s="8">
        <v>1</v>
      </c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194">
        <f>IF($G25="Youth 0-3",1,0)</f>
        <v>0</v>
      </c>
      <c r="AY25" s="194">
        <f>IF($G25="Youth 4-11",1,0)</f>
        <v>0</v>
      </c>
      <c r="AZ25" s="194">
        <f>IF($G25="Youth 12-15",1,0)</f>
        <v>0</v>
      </c>
      <c r="BA25" s="194">
        <f>IF($G25="Addict",1,0)</f>
        <v>1</v>
      </c>
      <c r="BB25" s="194">
        <f>IF($G25="Non-Addict",1,0)</f>
        <v>0</v>
      </c>
      <c r="BC25" s="194">
        <f>IF($G25="Free Reg Certificate",1,0)</f>
        <v>0</v>
      </c>
      <c r="BD25" s="194">
        <f>IF($G25="Newcomer",1,0)</f>
        <v>0</v>
      </c>
      <c r="BE25" s="194">
        <f>IF($G25="Committee",1,0)</f>
        <v>0</v>
      </c>
      <c r="BF25" s="194">
        <f>IF($G25="Treatment",1,0)</f>
        <v>0</v>
      </c>
      <c r="BG25" s="194">
        <f>IF($G25="Meeting Sponsored",1,0)</f>
        <v>0</v>
      </c>
      <c r="BH25" s="194">
        <f>IF($G25="Programming",1,0)</f>
        <v>0</v>
      </c>
      <c r="BI25" s="194">
        <f>IF($G25="Hardship",1,0)</f>
        <v>0</v>
      </c>
      <c r="BJ25" s="194">
        <f>IF($G25="Refund",1,0)</f>
        <v>0</v>
      </c>
      <c r="BK25" s="194">
        <f>IF($G25="Vermilion Bucks",1,0)</f>
        <v>0</v>
      </c>
      <c r="BL25" s="194">
        <f>IF($G25="Other",1,0)</f>
        <v>0</v>
      </c>
      <c r="BM25" s="286"/>
      <c r="BN25" s="286"/>
      <c r="BO25" s="286">
        <f>SUM(AX25:BL25)</f>
        <v>1</v>
      </c>
      <c r="BP25" s="287">
        <f>SUM(R25:AW25)</f>
        <v>1</v>
      </c>
      <c r="BQ25" s="287">
        <f>+BO25+BP25</f>
        <v>2</v>
      </c>
    </row>
    <row r="26" spans="1:85" s="7" customFormat="1" ht="10.199999999999999" customHeight="1" x14ac:dyDescent="0.2">
      <c r="A26" s="189" t="s">
        <v>407</v>
      </c>
      <c r="B26" s="187"/>
      <c r="C26" s="5">
        <v>229</v>
      </c>
      <c r="D26" s="6">
        <v>44111</v>
      </c>
      <c r="E26" s="284">
        <f>IF($D26 = 0,0,DATEDIF($D26,$D$7,"D"))</f>
        <v>339</v>
      </c>
      <c r="F26" s="193">
        <f>((R26*$R$2)+(S26*$S$2)+(T26*$T$2)++(U26*$U$2)++(V26*$V$2)++(W26*$W$2)++(X26*$X$2)++(Y26*$Y$2)+(Z26*$Z$2)+(AA26*$AA$2)+(AB26*$AB$2)+(AC26*$AC$2)+(AD26*$AD$2)+(AE26*$AE$2)+(AF26*$AF$2)+(AG26*$AG$2)+(AH26*$AH$2)+(AI26*$AI$2)+(AJ26*$AJ$2)+(AK26*$AK$2)+(AL26*$AL$2)+(AM26*$AM$2)+(AN26*$AN$2)+(AO26*$AO$2)+(AP26*$AP$2)+(AQ26*$AQ$2)+(AR26*$AR$2)+(AS26*$AS$2)+(AT26*$AT$2)+(AU26*$AU$2)+(AV26*$AV$2)+(AW26*$AW$2))</f>
        <v>140</v>
      </c>
      <c r="G26" s="8" t="s">
        <v>38</v>
      </c>
      <c r="H26" s="9"/>
      <c r="I26" s="9"/>
      <c r="J26" s="9"/>
      <c r="K26" s="93">
        <f>+F26-I26+J26-H26</f>
        <v>140</v>
      </c>
      <c r="L26" s="64">
        <v>140</v>
      </c>
      <c r="M26" s="253">
        <f>+K26-L26</f>
        <v>0</v>
      </c>
      <c r="N26" s="253" t="s">
        <v>545</v>
      </c>
      <c r="O26" s="253">
        <v>140</v>
      </c>
      <c r="P26" s="253">
        <f>+L26-O26</f>
        <v>0</v>
      </c>
      <c r="Q26" s="291" t="s">
        <v>284</v>
      </c>
      <c r="R26" s="5"/>
      <c r="S26" s="8"/>
      <c r="T26" s="8"/>
      <c r="U26" s="8"/>
      <c r="V26" s="8"/>
      <c r="W26" s="8"/>
      <c r="X26" s="8"/>
      <c r="Y26" s="8"/>
      <c r="Z26" s="8">
        <v>1</v>
      </c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194">
        <f>IF($G26="Youth 0-3",1,0)</f>
        <v>0</v>
      </c>
      <c r="AY26" s="194">
        <f>IF($G26="Youth 4-11",1,0)</f>
        <v>0</v>
      </c>
      <c r="AZ26" s="194">
        <f>IF($G26="Youth 12-15",1,0)</f>
        <v>0</v>
      </c>
      <c r="BA26" s="194">
        <f>IF($G26="Addict",1,0)</f>
        <v>1</v>
      </c>
      <c r="BB26" s="194">
        <f>IF($G26="Non-Addict",1,0)</f>
        <v>0</v>
      </c>
      <c r="BC26" s="194">
        <f>IF($G26="Free Reg Certificate",1,0)</f>
        <v>0</v>
      </c>
      <c r="BD26" s="194">
        <f>IF($G26="Newcomer",1,0)</f>
        <v>0</v>
      </c>
      <c r="BE26" s="194">
        <f>IF($G26="Committee",1,0)</f>
        <v>0</v>
      </c>
      <c r="BF26" s="194">
        <f>IF($G26="Treatment",1,0)</f>
        <v>0</v>
      </c>
      <c r="BG26" s="194">
        <f>IF($G26="Meeting Sponsored",1,0)</f>
        <v>0</v>
      </c>
      <c r="BH26" s="194">
        <f>IF($G26="Programming",1,0)</f>
        <v>0</v>
      </c>
      <c r="BI26" s="194">
        <f>IF($G26="Hardship",1,0)</f>
        <v>0</v>
      </c>
      <c r="BJ26" s="194">
        <f>IF($G26="Refund",1,0)</f>
        <v>0</v>
      </c>
      <c r="BK26" s="194">
        <f>IF($G26="Vermilion Bucks",1,0)</f>
        <v>0</v>
      </c>
      <c r="BL26" s="194">
        <f>IF($G26="Other",1,0)</f>
        <v>0</v>
      </c>
      <c r="BM26" s="286"/>
      <c r="BN26" s="286"/>
      <c r="BO26" s="286">
        <f>SUM(AX26:BL26)</f>
        <v>1</v>
      </c>
      <c r="BP26" s="287">
        <f>SUM(R26:AW26)</f>
        <v>1</v>
      </c>
      <c r="BQ26" s="287">
        <f>+BO26+BP26</f>
        <v>2</v>
      </c>
    </row>
    <row r="27" spans="1:85" s="7" customFormat="1" ht="10.199999999999999" customHeight="1" x14ac:dyDescent="0.2">
      <c r="A27" s="182" t="s">
        <v>525</v>
      </c>
      <c r="B27" s="283" t="s">
        <v>352</v>
      </c>
      <c r="C27" s="5"/>
      <c r="D27" s="6"/>
      <c r="E27" s="284">
        <f>IF($D27 = 0,0,DATEDIF($D27,$D$7,"D"))</f>
        <v>0</v>
      </c>
      <c r="F27" s="193">
        <f>((R27*$R$2)+(S27*$S$2)+(T27*$T$2)++(U27*$U$2)++(V27*$V$2)++(W27*$W$2)++(X27*$X$2)++(Y27*$Y$2)+(Z27*$Z$2)+(AA27*$AA$2)+(AB27*$AB$2)+(AC27*$AC$2)+(AD27*$AD$2)+(AE27*$AE$2)+(AF27*$AF$2)+(AG27*$AG$2)+(AH27*$AH$2)+(AI27*$AI$2)+(AJ27*$AJ$2)+(AK27*$AK$2)+(AL27*$AL$2)+(AM27*$AM$2)+(AN27*$AN$2)+(AO27*$AO$2)+(AP27*$AP$2)+(AQ27*$AQ$2)+(AR27*$AR$2)+(AS27*$AS$2)+(AT27*$AT$2)+(AU27*$AU$2)+(AV27*$AV$2)+(AW27*$AW$2))</f>
        <v>0</v>
      </c>
      <c r="G27" s="8" t="s">
        <v>171</v>
      </c>
      <c r="H27" s="9"/>
      <c r="I27" s="9"/>
      <c r="J27" s="9"/>
      <c r="K27" s="93">
        <f>+F27-I27+J27-H27</f>
        <v>0</v>
      </c>
      <c r="L27" s="64">
        <v>0</v>
      </c>
      <c r="M27" s="253">
        <f>+K27-L27</f>
        <v>0</v>
      </c>
      <c r="N27" s="253" t="s">
        <v>549</v>
      </c>
      <c r="O27" s="253"/>
      <c r="P27" s="253">
        <f>+L27-O27</f>
        <v>0</v>
      </c>
      <c r="Q27" s="271" t="s">
        <v>525</v>
      </c>
      <c r="R27" s="5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194">
        <f>IF($G27="Youth 0-3",1,0)</f>
        <v>0</v>
      </c>
      <c r="AY27" s="194">
        <f>IF($G27="Youth 4-11",1,0)</f>
        <v>0</v>
      </c>
      <c r="AZ27" s="194">
        <f>IF($G27="Youth 12-15",1,0)</f>
        <v>0</v>
      </c>
      <c r="BA27" s="194">
        <f>IF($G27="Addict",1,0)</f>
        <v>0</v>
      </c>
      <c r="BB27" s="194">
        <f>IF($G27="Non-Addict",1,0)</f>
        <v>0</v>
      </c>
      <c r="BC27" s="194">
        <f>IF($G27="Free Reg Certificate",1,0)</f>
        <v>0</v>
      </c>
      <c r="BD27" s="194">
        <f>IF($G27="Newcomer",1,0)</f>
        <v>0</v>
      </c>
      <c r="BE27" s="194">
        <f>IF($G27="Committee",1,0)</f>
        <v>0</v>
      </c>
      <c r="BF27" s="194">
        <f>IF($G27="Treatment",1,0)</f>
        <v>0</v>
      </c>
      <c r="BG27" s="194">
        <f>IF($G27="Meeting Sponsored",1,0)</f>
        <v>0</v>
      </c>
      <c r="BH27" s="194">
        <f>IF($G27="Programming",1,0)</f>
        <v>0</v>
      </c>
      <c r="BI27" s="194">
        <f>IF($G27="Hardship",1,0)</f>
        <v>0</v>
      </c>
      <c r="BJ27" s="194">
        <f>IF($G27="Refund",1,0)</f>
        <v>1</v>
      </c>
      <c r="BK27" s="194">
        <f>IF($G27="Vermilion Bucks",1,0)</f>
        <v>0</v>
      </c>
      <c r="BL27" s="194">
        <f>IF($G27="Other",1,0)</f>
        <v>0</v>
      </c>
      <c r="BM27" s="286"/>
      <c r="BN27" s="286"/>
      <c r="BO27" s="286">
        <f>SUM(AX27:BL27)</f>
        <v>1</v>
      </c>
      <c r="BP27" s="287">
        <f>SUM(R27:AW27)</f>
        <v>0</v>
      </c>
      <c r="BQ27" s="287">
        <f>+BO27+BP27</f>
        <v>1</v>
      </c>
    </row>
    <row r="28" spans="1:85" s="7" customFormat="1" ht="10.199999999999999" customHeight="1" x14ac:dyDescent="0.2">
      <c r="A28" s="189" t="s">
        <v>321</v>
      </c>
      <c r="B28" s="187" t="s">
        <v>322</v>
      </c>
      <c r="C28" s="5">
        <v>165</v>
      </c>
      <c r="D28" s="6">
        <v>39200</v>
      </c>
      <c r="E28" s="284">
        <f>IF($D28 = 0,0,DATEDIF($D28,$D$7,"D"))</f>
        <v>5250</v>
      </c>
      <c r="F28" s="193">
        <f>((R28*$R$2)+(S28*$S$2)+(T28*$T$2)++(U28*$U$2)++(V28*$V$2)++(W28*$W$2)++(X28*$X$2)++(Y28*$Y$2)+(Z28*$Z$2)+(AA28*$AA$2)+(AB28*$AB$2)+(AC28*$AC$2)+(AD28*$AD$2)+(AE28*$AE$2)+(AF28*$AF$2)+(AG28*$AG$2)+(AH28*$AH$2)+(AI28*$AI$2)+(AJ28*$AJ$2)+(AK28*$AK$2)+(AL28*$AL$2)+(AM28*$AM$2)+(AN28*$AN$2)+(AO28*$AO$2)+(AP28*$AP$2)+(AQ28*$AQ$2)+(AR28*$AR$2)+(AS28*$AS$2)+(AT28*$AT$2)+(AU28*$AU$2)+(AV28*$AV$2)+(AW28*$AW$2))</f>
        <v>130</v>
      </c>
      <c r="G28" s="8" t="s">
        <v>38</v>
      </c>
      <c r="H28" s="9"/>
      <c r="I28" s="9"/>
      <c r="J28" s="9"/>
      <c r="K28" s="93">
        <f>+F28-I28+J28-H28</f>
        <v>130</v>
      </c>
      <c r="L28" s="64">
        <v>130</v>
      </c>
      <c r="M28" s="253" t="s">
        <v>37</v>
      </c>
      <c r="N28" s="253" t="s">
        <v>545</v>
      </c>
      <c r="O28" s="253">
        <v>130</v>
      </c>
      <c r="P28" s="253">
        <f>+L28-O28</f>
        <v>0</v>
      </c>
      <c r="Q28" s="271" t="s">
        <v>321</v>
      </c>
      <c r="R28" s="5"/>
      <c r="S28" s="8"/>
      <c r="T28" s="8"/>
      <c r="U28" s="8"/>
      <c r="V28" s="8"/>
      <c r="W28" s="8"/>
      <c r="X28" s="8"/>
      <c r="Y28" s="8"/>
      <c r="Z28" s="8"/>
      <c r="AA28" s="8">
        <v>1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194">
        <f>IF($G28="Youth 0-3",1,0)</f>
        <v>0</v>
      </c>
      <c r="AY28" s="194">
        <f>IF($G28="Youth 4-11",1,0)</f>
        <v>0</v>
      </c>
      <c r="AZ28" s="194">
        <f>IF($G28="Youth 12-15",1,0)</f>
        <v>0</v>
      </c>
      <c r="BA28" s="194">
        <f>IF($G28="Addict",1,0)</f>
        <v>1</v>
      </c>
      <c r="BB28" s="194">
        <f>IF($G28="Non-Addict",1,0)</f>
        <v>0</v>
      </c>
      <c r="BC28" s="194">
        <f>IF($G28="Free Reg Certificate",1,0)</f>
        <v>0</v>
      </c>
      <c r="BD28" s="194">
        <f>IF($G28="Newcomer",1,0)</f>
        <v>0</v>
      </c>
      <c r="BE28" s="194">
        <f>IF($G28="Committee",1,0)</f>
        <v>0</v>
      </c>
      <c r="BF28" s="194">
        <f>IF($G28="Treatment",1,0)</f>
        <v>0</v>
      </c>
      <c r="BG28" s="194">
        <f>IF($G28="Meeting Sponsored",1,0)</f>
        <v>0</v>
      </c>
      <c r="BH28" s="194">
        <f>IF($G28="Programming",1,0)</f>
        <v>0</v>
      </c>
      <c r="BI28" s="194">
        <f>IF($G28="Hardship",1,0)</f>
        <v>0</v>
      </c>
      <c r="BJ28" s="194">
        <f>IF($G28="Refund",1,0)</f>
        <v>0</v>
      </c>
      <c r="BK28" s="194">
        <f>IF($G28="Vermilion Bucks",1,0)</f>
        <v>0</v>
      </c>
      <c r="BL28" s="194">
        <f>IF($G28="Other",1,0)</f>
        <v>0</v>
      </c>
      <c r="BM28" s="286"/>
      <c r="BN28" s="286"/>
      <c r="BO28" s="286">
        <f>SUM(AX28:BL28)</f>
        <v>1</v>
      </c>
      <c r="BP28" s="287">
        <f>SUM(R28:AW28)</f>
        <v>1</v>
      </c>
      <c r="BQ28" s="287">
        <f>+BO28+BP28</f>
        <v>2</v>
      </c>
    </row>
    <row r="29" spans="1:85" s="7" customFormat="1" x14ac:dyDescent="0.2">
      <c r="A29" s="189" t="s">
        <v>524</v>
      </c>
      <c r="B29" s="187" t="s">
        <v>304</v>
      </c>
      <c r="C29" s="5">
        <v>204</v>
      </c>
      <c r="D29" s="6">
        <v>43688</v>
      </c>
      <c r="E29" s="284">
        <f>IF($D29 = 0,0,DATEDIF($D29,$D$7,"D"))</f>
        <v>762</v>
      </c>
      <c r="F29" s="193">
        <f>((R29*$R$2)+(S29*$S$2)+(T29*$T$2)++(U29*$U$2)++(V29*$V$2)++(W29*$W$2)++(X29*$X$2)++(Y29*$Y$2)+(Z29*$Z$2)+(AA29*$AA$2)+(AB29*$AB$2)+(AC29*$AC$2)+(AD29*$AD$2)+(AE29*$AE$2)+(AF29*$AF$2)+(AG29*$AG$2)+(AH29*$AH$2)+(AI29*$AI$2)+(AJ29*$AJ$2)+(AK29*$AK$2)+(AL29*$AL$2)+(AM29*$AM$2)+(AN29*$AN$2)+(AO29*$AO$2)+(AP29*$AP$2)+(AQ29*$AQ$2)+(AR29*$AR$2)+(AS29*$AS$2)+(AT29*$AT$2)+(AU29*$AU$2)+(AV29*$AV$2)+(AW29*$AW$2))</f>
        <v>130</v>
      </c>
      <c r="G29" s="8" t="s">
        <v>171</v>
      </c>
      <c r="H29" s="9">
        <v>130</v>
      </c>
      <c r="I29" s="9"/>
      <c r="J29" s="9"/>
      <c r="K29" s="93">
        <f>+F29-I29+J29-H29</f>
        <v>0</v>
      </c>
      <c r="L29" s="64"/>
      <c r="M29" s="253">
        <f>+K29-L29</f>
        <v>0</v>
      </c>
      <c r="N29" s="253" t="s">
        <v>549</v>
      </c>
      <c r="O29" s="253"/>
      <c r="P29" s="253">
        <f>+L29-O29</f>
        <v>0</v>
      </c>
      <c r="Q29" s="271" t="s">
        <v>524</v>
      </c>
      <c r="R29" s="5"/>
      <c r="S29" s="8"/>
      <c r="T29" s="8"/>
      <c r="U29" s="8"/>
      <c r="V29" s="8"/>
      <c r="W29" s="8"/>
      <c r="X29" s="8"/>
      <c r="Y29" s="8"/>
      <c r="Z29" s="8"/>
      <c r="AA29" s="8">
        <v>1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194">
        <f>IF($G29="Youth 0-3",1,0)</f>
        <v>0</v>
      </c>
      <c r="AY29" s="194">
        <f>IF($G29="Youth 4-11",1,0)</f>
        <v>0</v>
      </c>
      <c r="AZ29" s="194">
        <f>IF($G29="Youth 12-15",1,0)</f>
        <v>0</v>
      </c>
      <c r="BA29" s="194">
        <f>IF($G29="Addict",1,0)</f>
        <v>0</v>
      </c>
      <c r="BB29" s="194">
        <f>IF($G29="Non-Addict",1,0)</f>
        <v>0</v>
      </c>
      <c r="BC29" s="194">
        <f>IF($G29="Free Reg Certificate",1,0)</f>
        <v>0</v>
      </c>
      <c r="BD29" s="194">
        <f>IF($G29="Newcomer",1,0)</f>
        <v>0</v>
      </c>
      <c r="BE29" s="194">
        <f>IF($G29="Committee",1,0)</f>
        <v>0</v>
      </c>
      <c r="BF29" s="194">
        <f>IF($G29="Treatment",1,0)</f>
        <v>0</v>
      </c>
      <c r="BG29" s="194">
        <f>IF($G29="Meeting Sponsored",1,0)</f>
        <v>0</v>
      </c>
      <c r="BH29" s="194">
        <f>IF($G29="Programming",1,0)</f>
        <v>0</v>
      </c>
      <c r="BI29" s="194">
        <f>IF($G29="Hardship",1,0)</f>
        <v>0</v>
      </c>
      <c r="BJ29" s="194">
        <f>IF($G29="Refund",1,0)</f>
        <v>1</v>
      </c>
      <c r="BK29" s="194">
        <f>IF($G29="Vermilion Bucks",1,0)</f>
        <v>0</v>
      </c>
      <c r="BL29" s="194">
        <f>IF($G29="Other",1,0)</f>
        <v>0</v>
      </c>
      <c r="BM29" s="286"/>
      <c r="BN29" s="286"/>
      <c r="BO29" s="286">
        <f>SUM(AX29:BL29)</f>
        <v>1</v>
      </c>
      <c r="BP29" s="287">
        <f>SUM(R29:AW29)</f>
        <v>1</v>
      </c>
      <c r="BQ29" s="287">
        <f>+BO29+BP29</f>
        <v>2</v>
      </c>
    </row>
    <row r="30" spans="1:85" s="7" customFormat="1" ht="10.199999999999999" customHeight="1" x14ac:dyDescent="0.2">
      <c r="A30" s="189" t="s">
        <v>518</v>
      </c>
      <c r="B30" s="283" t="s">
        <v>354</v>
      </c>
      <c r="C30" s="5"/>
      <c r="D30" s="6"/>
      <c r="E30" s="284">
        <f>IF($D30 = 0,0,DATEDIF($D30,$D$7,"D"))</f>
        <v>0</v>
      </c>
      <c r="F30" s="193">
        <f>((R30*$R$2)+(S30*$S$2)+(T30*$T$2)++(U30*$U$2)++(V30*$V$2)++(W30*$W$2)++(X30*$X$2)++(Y30*$Y$2)+(Z30*$Z$2)+(AA30*$AA$2)+(AB30*$AB$2)+(AC30*$AC$2)+(AD30*$AD$2)+(AE30*$AE$2)+(AF30*$AF$2)+(AG30*$AG$2)+(AH30*$AH$2)+(AI30*$AI$2)+(AJ30*$AJ$2)+(AK30*$AK$2)+(AL30*$AL$2)+(AM30*$AM$2)+(AN30*$AN$2)+(AO30*$AO$2)+(AP30*$AP$2)+(AQ30*$AQ$2)+(AR30*$AR$2)+(AS30*$AS$2)+(AT30*$AT$2)+(AU30*$AU$2)+(AV30*$AV$2)+(AW30*$AW$2))</f>
        <v>0</v>
      </c>
      <c r="G30" s="8" t="s">
        <v>171</v>
      </c>
      <c r="H30" s="9"/>
      <c r="I30" s="9"/>
      <c r="J30" s="9"/>
      <c r="K30" s="93">
        <f>+F30-I30+J30-H30</f>
        <v>0</v>
      </c>
      <c r="L30" s="64"/>
      <c r="M30" s="253"/>
      <c r="N30" s="253" t="s">
        <v>549</v>
      </c>
      <c r="O30" s="253"/>
      <c r="P30" s="253">
        <f>+L30-O30</f>
        <v>0</v>
      </c>
      <c r="Q30" s="271" t="s">
        <v>518</v>
      </c>
      <c r="R30" s="5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194">
        <f>IF($G30="Youth 0-3",1,0)</f>
        <v>0</v>
      </c>
      <c r="AY30" s="194">
        <f>IF($G30="Youth 4-11",1,0)</f>
        <v>0</v>
      </c>
      <c r="AZ30" s="194">
        <f>IF($G30="Youth 12-15",1,0)</f>
        <v>0</v>
      </c>
      <c r="BA30" s="194">
        <f>IF($G30="Addict",1,0)</f>
        <v>0</v>
      </c>
      <c r="BB30" s="194">
        <f>IF($G30="Non-Addict",1,0)</f>
        <v>0</v>
      </c>
      <c r="BC30" s="194">
        <f>IF($G30="Free Reg Certificate",1,0)</f>
        <v>0</v>
      </c>
      <c r="BD30" s="194">
        <f>IF($G30="Newcomer",1,0)</f>
        <v>0</v>
      </c>
      <c r="BE30" s="194">
        <f>IF($G30="Committee",1,0)</f>
        <v>0</v>
      </c>
      <c r="BF30" s="194">
        <f>IF($G30="Treatment",1,0)</f>
        <v>0</v>
      </c>
      <c r="BG30" s="194">
        <f>IF($G30="Meeting Sponsored",1,0)</f>
        <v>0</v>
      </c>
      <c r="BH30" s="194">
        <f>IF($G30="Programming",1,0)</f>
        <v>0</v>
      </c>
      <c r="BI30" s="194">
        <f>IF($G30="Hardship",1,0)</f>
        <v>0</v>
      </c>
      <c r="BJ30" s="194">
        <f>IF($G30="Refund",1,0)</f>
        <v>1</v>
      </c>
      <c r="BK30" s="194">
        <f>IF($G30="Vermilion Bucks",1,0)</f>
        <v>0</v>
      </c>
      <c r="BL30" s="194">
        <f>IF($G30="Other",1,0)</f>
        <v>0</v>
      </c>
      <c r="BM30" s="286"/>
      <c r="BN30" s="286"/>
      <c r="BO30" s="286">
        <f>SUM(AX30:BL30)</f>
        <v>1</v>
      </c>
      <c r="BP30" s="287">
        <f>SUM(R30:AW30)</f>
        <v>0</v>
      </c>
      <c r="BQ30" s="287">
        <f>+BO30+BP30</f>
        <v>1</v>
      </c>
    </row>
    <row r="31" spans="1:85" s="7" customFormat="1" ht="10.199999999999999" customHeight="1" x14ac:dyDescent="0.2">
      <c r="A31" s="189" t="s">
        <v>416</v>
      </c>
      <c r="B31" s="187" t="s">
        <v>305</v>
      </c>
      <c r="C31" s="5">
        <v>1042</v>
      </c>
      <c r="D31" s="6">
        <v>44242</v>
      </c>
      <c r="E31" s="284">
        <f>IF($D31 = 0,0,DATEDIF($D31,$D$7,"D"))</f>
        <v>208</v>
      </c>
      <c r="F31" s="193">
        <f>((R31*$R$2)+(S31*$S$2)+(T31*$T$2)++(U31*$U$2)++(V31*$V$2)++(W31*$W$2)++(X31*$X$2)++(Y31*$Y$2)+(Z31*$Z$2)+(AA31*$AA$2)+(AB31*$AB$2)+(AC31*$AC$2)+(AD31*$AD$2)+(AE31*$AE$2)+(AF31*$AF$2)+(AG31*$AG$2)+(AH31*$AH$2)+(AI31*$AI$2)+(AJ31*$AJ$2)+(AK31*$AK$2)+(AL31*$AL$2)+(AM31*$AM$2)+(AN31*$AN$2)+(AO31*$AO$2)+(AP31*$AP$2)+(AQ31*$AQ$2)+(AR31*$AR$2)+(AS31*$AS$2)+(AT31*$AT$2)+(AU31*$AU$2)+(AV31*$AV$2)+(AW31*$AW$2))</f>
        <v>125</v>
      </c>
      <c r="G31" s="8" t="s">
        <v>38</v>
      </c>
      <c r="H31" s="9"/>
      <c r="I31" s="9"/>
      <c r="J31" s="9"/>
      <c r="K31" s="93">
        <f>+F31-I31+J31-H31</f>
        <v>125</v>
      </c>
      <c r="L31" s="64">
        <v>125</v>
      </c>
      <c r="M31" s="253">
        <f>+K31-L31</f>
        <v>0</v>
      </c>
      <c r="N31" s="253" t="s">
        <v>545</v>
      </c>
      <c r="O31" s="253">
        <v>125</v>
      </c>
      <c r="P31" s="253">
        <f>+L31-O31</f>
        <v>0</v>
      </c>
      <c r="Q31" s="271" t="s">
        <v>416</v>
      </c>
      <c r="R31" s="5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>
        <v>1</v>
      </c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194">
        <f>IF($G31="Youth 0-3",1,0)</f>
        <v>0</v>
      </c>
      <c r="AY31" s="194">
        <f>IF($G31="Youth 4-11",1,0)</f>
        <v>0</v>
      </c>
      <c r="AZ31" s="194">
        <f>IF($G31="Youth 12-15",1,0)</f>
        <v>0</v>
      </c>
      <c r="BA31" s="194">
        <f>IF($G31="Addict",1,0)</f>
        <v>1</v>
      </c>
      <c r="BB31" s="194">
        <f>IF($G31="Non-Addict",1,0)</f>
        <v>0</v>
      </c>
      <c r="BC31" s="194">
        <f>IF($G31="Free Reg Certificate",1,0)</f>
        <v>0</v>
      </c>
      <c r="BD31" s="194">
        <f>IF($G31="Newcomer",1,0)</f>
        <v>0</v>
      </c>
      <c r="BE31" s="194">
        <f>IF($G31="Committee",1,0)</f>
        <v>0</v>
      </c>
      <c r="BF31" s="194">
        <f>IF($G31="Treatment",1,0)</f>
        <v>0</v>
      </c>
      <c r="BG31" s="194">
        <f>IF($G31="Meeting Sponsored",1,0)</f>
        <v>0</v>
      </c>
      <c r="BH31" s="194">
        <f>IF($G31="Programming",1,0)</f>
        <v>0</v>
      </c>
      <c r="BI31" s="194">
        <f>IF($G31="Hardship",1,0)</f>
        <v>0</v>
      </c>
      <c r="BJ31" s="194">
        <f>IF($G31="Refund",1,0)</f>
        <v>0</v>
      </c>
      <c r="BK31" s="194">
        <f>IF($G31="Vermilion Bucks",1,0)</f>
        <v>0</v>
      </c>
      <c r="BL31" s="194">
        <f>IF($G31="Other",1,0)</f>
        <v>0</v>
      </c>
      <c r="BM31" s="286"/>
      <c r="BN31" s="286"/>
      <c r="BO31" s="286">
        <f>SUM(AX31:BL31)</f>
        <v>1</v>
      </c>
      <c r="BP31" s="287">
        <f>SUM(R31:AW31)</f>
        <v>1</v>
      </c>
      <c r="BQ31" s="287">
        <f>+BO31+BP31</f>
        <v>2</v>
      </c>
      <c r="BR31" s="241"/>
      <c r="BS31" s="241"/>
      <c r="BT31" s="241"/>
      <c r="BU31" s="241"/>
      <c r="BV31" s="241"/>
      <c r="BW31" s="241"/>
      <c r="BX31" s="241"/>
      <c r="BY31" s="241"/>
      <c r="BZ31" s="241"/>
      <c r="CA31" s="241"/>
      <c r="CB31" s="241"/>
      <c r="CC31" s="241"/>
      <c r="CD31" s="241"/>
      <c r="CE31" s="241"/>
      <c r="CF31" s="241"/>
      <c r="CG31" s="241"/>
    </row>
    <row r="32" spans="1:85" s="7" customFormat="1" ht="10.199999999999999" customHeight="1" x14ac:dyDescent="0.2">
      <c r="A32" s="182" t="s">
        <v>458</v>
      </c>
      <c r="B32" s="177"/>
      <c r="C32" s="5">
        <v>6000</v>
      </c>
      <c r="D32" s="6">
        <v>43549</v>
      </c>
      <c r="E32" s="284">
        <f>IF($D32 = 0,0,DATEDIF($D32,$D$7,"D"))</f>
        <v>901</v>
      </c>
      <c r="F32" s="193">
        <f>((R32*$R$2)+(S32*$S$2)+(T32*$T$2)++(U32*$U$2)++(V32*$V$2)++(W32*$W$2)++(X32*$X$2)++(Y32*$Y$2)+(Z32*$Z$2)+(AA32*$AA$2)+(AB32*$AB$2)+(AC32*$AC$2)+(AD32*$AD$2)+(AE32*$AE$2)+(AF32*$AF$2)+(AG32*$AG$2)+(AH32*$AH$2)+(AI32*$AI$2)+(AJ32*$AJ$2)+(AK32*$AK$2)+(AL32*$AL$2)+(AM32*$AM$2)+(AN32*$AN$2)+(AO32*$AO$2)+(AP32*$AP$2)+(AQ32*$AQ$2)+(AR32*$AR$2)+(AS32*$AS$2)+(AT32*$AT$2)+(AU32*$AU$2)+(AV32*$AV$2)+(AW32*$AW$2))</f>
        <v>160</v>
      </c>
      <c r="G32" s="8" t="s">
        <v>38</v>
      </c>
      <c r="H32" s="9"/>
      <c r="I32" s="9"/>
      <c r="J32" s="9"/>
      <c r="K32" s="93">
        <f>+F32-I32+J32-H32</f>
        <v>160</v>
      </c>
      <c r="L32" s="64">
        <v>160</v>
      </c>
      <c r="M32" s="253">
        <f>+K32-L32</f>
        <v>0</v>
      </c>
      <c r="N32" s="253" t="s">
        <v>545</v>
      </c>
      <c r="O32" s="253">
        <v>160</v>
      </c>
      <c r="P32" s="253">
        <f>+L32-O32</f>
        <v>0</v>
      </c>
      <c r="Q32" s="270" t="s">
        <v>288</v>
      </c>
      <c r="R32" s="5"/>
      <c r="S32" s="8"/>
      <c r="T32" s="8"/>
      <c r="U32" s="8"/>
      <c r="V32" s="8"/>
      <c r="W32" s="8">
        <v>1</v>
      </c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194">
        <f>IF($G32="Youth 0-3",1,0)</f>
        <v>0</v>
      </c>
      <c r="AY32" s="194">
        <f>IF($G32="Youth 4-11",1,0)</f>
        <v>0</v>
      </c>
      <c r="AZ32" s="194">
        <f>IF($G32="Youth 12-15",1,0)</f>
        <v>0</v>
      </c>
      <c r="BA32" s="194">
        <f>IF($G32="Addict",1,0)</f>
        <v>1</v>
      </c>
      <c r="BB32" s="194">
        <f>IF($G32="Non-Addict",1,0)</f>
        <v>0</v>
      </c>
      <c r="BC32" s="194">
        <f>IF($G32="Free Reg Certificate",1,0)</f>
        <v>0</v>
      </c>
      <c r="BD32" s="194">
        <f>IF($G32="Newcomer",1,0)</f>
        <v>0</v>
      </c>
      <c r="BE32" s="194">
        <f>IF($G32="Committee",1,0)</f>
        <v>0</v>
      </c>
      <c r="BF32" s="194">
        <f>IF($G32="Treatment",1,0)</f>
        <v>0</v>
      </c>
      <c r="BG32" s="194">
        <f>IF($G32="Meeting Sponsored",1,0)</f>
        <v>0</v>
      </c>
      <c r="BH32" s="194">
        <f>IF($G32="Programming",1,0)</f>
        <v>0</v>
      </c>
      <c r="BI32" s="194">
        <f>IF($G32="Hardship",1,0)</f>
        <v>0</v>
      </c>
      <c r="BJ32" s="194">
        <f>IF($G32="Refund",1,0)</f>
        <v>0</v>
      </c>
      <c r="BK32" s="194">
        <f>IF($G32="Vermilion Bucks",1,0)</f>
        <v>0</v>
      </c>
      <c r="BL32" s="194">
        <f>IF($G32="Other",1,0)</f>
        <v>0</v>
      </c>
      <c r="BM32" s="286"/>
      <c r="BN32" s="286"/>
      <c r="BO32" s="286">
        <f>SUM(AX32:BL32)</f>
        <v>1</v>
      </c>
      <c r="BP32" s="287">
        <f>SUM(R32:AW32)</f>
        <v>1</v>
      </c>
      <c r="BQ32" s="287">
        <f>+BO32+BP32</f>
        <v>2</v>
      </c>
    </row>
    <row r="33" spans="1:69" s="7" customFormat="1" ht="10.199999999999999" customHeight="1" x14ac:dyDescent="0.2">
      <c r="A33" s="182" t="s">
        <v>288</v>
      </c>
      <c r="B33" s="177"/>
      <c r="C33" s="5">
        <v>205</v>
      </c>
      <c r="D33" s="6">
        <v>38210</v>
      </c>
      <c r="E33" s="284">
        <f>IF($D33 = 0,0,DATEDIF($D33,$D$7,"D"))</f>
        <v>6240</v>
      </c>
      <c r="F33" s="193">
        <f>((R33*$R$2)+(S33*$S$2)+(T33*$T$2)++(U33*$U$2)++(V33*$V$2)++(W33*$W$2)++(X33*$X$2)++(Y33*$Y$2)+(Z33*$Z$2)+(AA33*$AA$2)+(AB33*$AB$2)+(AC33*$AC$2)+(AD33*$AD$2)+(AE33*$AE$2)+(AF33*$AF$2)+(AG33*$AG$2)+(AH33*$AH$2)+(AI33*$AI$2)+(AJ33*$AJ$2)+(AK33*$AK$2)+(AL33*$AL$2)+(AM33*$AM$2)+(AN33*$AN$2)+(AO33*$AO$2)+(AP33*$AP$2)+(AQ33*$AQ$2)+(AR33*$AR$2)+(AS33*$AS$2)+(AT33*$AT$2)+(AU33*$AU$2)+(AV33*$AV$2)+(AW33*$AW$2))</f>
        <v>160</v>
      </c>
      <c r="G33" s="8" t="s">
        <v>38</v>
      </c>
      <c r="H33" s="9"/>
      <c r="I33" s="9"/>
      <c r="J33" s="9"/>
      <c r="K33" s="93">
        <f>+F33-I33+J33-H33</f>
        <v>160</v>
      </c>
      <c r="L33" s="64">
        <v>160</v>
      </c>
      <c r="M33" s="253">
        <f>+K33-L33</f>
        <v>0</v>
      </c>
      <c r="N33" s="253" t="s">
        <v>545</v>
      </c>
      <c r="O33" s="253">
        <v>160</v>
      </c>
      <c r="P33" s="253">
        <f>+L33-O33</f>
        <v>0</v>
      </c>
      <c r="Q33" s="270" t="s">
        <v>288</v>
      </c>
      <c r="R33" s="5"/>
      <c r="S33" s="8"/>
      <c r="T33" s="8"/>
      <c r="U33" s="8"/>
      <c r="V33" s="8"/>
      <c r="W33" s="8">
        <v>1</v>
      </c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194">
        <f>IF($G33="Youth 0-3",1,0)</f>
        <v>0</v>
      </c>
      <c r="AY33" s="194">
        <f>IF($G33="Youth 4-11",1,0)</f>
        <v>0</v>
      </c>
      <c r="AZ33" s="194">
        <f>IF($G33="Youth 12-15",1,0)</f>
        <v>0</v>
      </c>
      <c r="BA33" s="194">
        <f>IF($G33="Addict",1,0)</f>
        <v>1</v>
      </c>
      <c r="BB33" s="194">
        <f>IF($G33="Non-Addict",1,0)</f>
        <v>0</v>
      </c>
      <c r="BC33" s="194">
        <f>IF($G33="Free Reg Certificate",1,0)</f>
        <v>0</v>
      </c>
      <c r="BD33" s="194">
        <f>IF($G33="Newcomer",1,0)</f>
        <v>0</v>
      </c>
      <c r="BE33" s="194">
        <f>IF($G33="Committee",1,0)</f>
        <v>0</v>
      </c>
      <c r="BF33" s="194">
        <f>IF($G33="Treatment",1,0)</f>
        <v>0</v>
      </c>
      <c r="BG33" s="194">
        <f>IF($G33="Meeting Sponsored",1,0)</f>
        <v>0</v>
      </c>
      <c r="BH33" s="194">
        <f>IF($G33="Programming",1,0)</f>
        <v>0</v>
      </c>
      <c r="BI33" s="194">
        <f>IF($G33="Hardship",1,0)</f>
        <v>0</v>
      </c>
      <c r="BJ33" s="194">
        <f>IF($G33="Refund",1,0)</f>
        <v>0</v>
      </c>
      <c r="BK33" s="194">
        <f>IF($G33="Vermilion Bucks",1,0)</f>
        <v>0</v>
      </c>
      <c r="BL33" s="194">
        <f>IF($G33="Other",1,0)</f>
        <v>0</v>
      </c>
      <c r="BM33" s="286"/>
      <c r="BN33" s="286"/>
      <c r="BO33" s="286">
        <f>SUM(AX33:BL33)</f>
        <v>1</v>
      </c>
      <c r="BP33" s="287">
        <f>SUM(R33:AW33)</f>
        <v>1</v>
      </c>
      <c r="BQ33" s="287">
        <f>+BO33+BP33</f>
        <v>2</v>
      </c>
    </row>
    <row r="34" spans="1:69" s="7" customFormat="1" x14ac:dyDescent="0.2">
      <c r="A34" s="182" t="s">
        <v>457</v>
      </c>
      <c r="B34" s="177"/>
      <c r="C34" s="5">
        <v>2000</v>
      </c>
      <c r="D34" s="6">
        <v>43784</v>
      </c>
      <c r="E34" s="284">
        <f>IF($D34 = 0,0,DATEDIF($D34,$D$7,"D"))</f>
        <v>666</v>
      </c>
      <c r="F34" s="193">
        <f>((R34*$R$2)+(S34*$S$2)+(T34*$T$2)++(U34*$U$2)++(V34*$V$2)++(W34*$W$2)++(X34*$X$2)++(Y34*$Y$2)+(Z34*$Z$2)+(AA34*$AA$2)+(AB34*$AB$2)+(AC34*$AC$2)+(AD34*$AD$2)+(AE34*$AE$2)+(AF34*$AF$2)+(AG34*$AG$2)+(AH34*$AH$2)+(AI34*$AI$2)+(AJ34*$AJ$2)+(AK34*$AK$2)+(AL34*$AL$2)+(AM34*$AM$2)+(AN34*$AN$2)+(AO34*$AO$2)+(AP34*$AP$2)+(AQ34*$AQ$2)+(AR34*$AR$2)+(AS34*$AS$2)+(AT34*$AT$2)+(AU34*$AU$2)+(AV34*$AV$2)+(AW34*$AW$2))</f>
        <v>160</v>
      </c>
      <c r="G34" s="8" t="s">
        <v>38</v>
      </c>
      <c r="H34" s="9"/>
      <c r="I34" s="9"/>
      <c r="J34" s="9"/>
      <c r="K34" s="93">
        <f>+F34-I34+J34-H34</f>
        <v>160</v>
      </c>
      <c r="L34" s="64">
        <v>160</v>
      </c>
      <c r="M34" s="253">
        <f>+K34-L34</f>
        <v>0</v>
      </c>
      <c r="N34" s="253" t="s">
        <v>545</v>
      </c>
      <c r="O34" s="253">
        <v>160</v>
      </c>
      <c r="P34" s="253">
        <f>+L34-O34</f>
        <v>0</v>
      </c>
      <c r="Q34" s="270" t="s">
        <v>288</v>
      </c>
      <c r="R34" s="5"/>
      <c r="S34" s="8"/>
      <c r="T34" s="8"/>
      <c r="U34" s="8"/>
      <c r="V34" s="8"/>
      <c r="W34" s="8">
        <v>1</v>
      </c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194">
        <f>IF($G34="Youth 0-3",1,0)</f>
        <v>0</v>
      </c>
      <c r="AY34" s="194">
        <f>IF($G34="Youth 4-11",1,0)</f>
        <v>0</v>
      </c>
      <c r="AZ34" s="194">
        <f>IF($G34="Youth 12-15",1,0)</f>
        <v>0</v>
      </c>
      <c r="BA34" s="194">
        <f>IF($G34="Addict",1,0)</f>
        <v>1</v>
      </c>
      <c r="BB34" s="194">
        <f>IF($G34="Non-Addict",1,0)</f>
        <v>0</v>
      </c>
      <c r="BC34" s="194">
        <f>IF($G34="Free Reg Certificate",1,0)</f>
        <v>0</v>
      </c>
      <c r="BD34" s="194">
        <f>IF($G34="Newcomer",1,0)</f>
        <v>0</v>
      </c>
      <c r="BE34" s="194">
        <f>IF($G34="Committee",1,0)</f>
        <v>0</v>
      </c>
      <c r="BF34" s="194">
        <f>IF($G34="Treatment",1,0)</f>
        <v>0</v>
      </c>
      <c r="BG34" s="194">
        <f>IF($G34="Meeting Sponsored",1,0)</f>
        <v>0</v>
      </c>
      <c r="BH34" s="194">
        <f>IF($G34="Programming",1,0)</f>
        <v>0</v>
      </c>
      <c r="BI34" s="194">
        <f>IF($G34="Hardship",1,0)</f>
        <v>0</v>
      </c>
      <c r="BJ34" s="194">
        <f>IF($G34="Refund",1,0)</f>
        <v>0</v>
      </c>
      <c r="BK34" s="194">
        <f>IF($G34="Vermilion Bucks",1,0)</f>
        <v>0</v>
      </c>
      <c r="BL34" s="194">
        <f>IF($G34="Other",1,0)</f>
        <v>0</v>
      </c>
      <c r="BM34" s="286"/>
      <c r="BN34" s="286"/>
      <c r="BO34" s="286">
        <f>SUM(AX34:BL34)</f>
        <v>1</v>
      </c>
      <c r="BP34" s="287">
        <f>SUM(R34:AW34)</f>
        <v>1</v>
      </c>
      <c r="BQ34" s="287">
        <f>+BO34+BP34</f>
        <v>2</v>
      </c>
    </row>
    <row r="35" spans="1:69" s="7" customFormat="1" x14ac:dyDescent="0.2">
      <c r="A35" s="189" t="s">
        <v>275</v>
      </c>
      <c r="B35" s="187" t="s">
        <v>276</v>
      </c>
      <c r="C35" s="5">
        <v>100</v>
      </c>
      <c r="D35" s="6">
        <v>43566</v>
      </c>
      <c r="E35" s="284">
        <f>IF($D35 = 0,0,DATEDIF($D35,$D$7,"D"))</f>
        <v>884</v>
      </c>
      <c r="F35" s="193">
        <f>((R35*$R$2)+(S35*$S$2)+(T35*$T$2)++(U35*$U$2)++(V35*$V$2)++(W35*$W$2)++(X35*$X$2)++(Y35*$Y$2)+(Z35*$Z$2)+(AA35*$AA$2)+(AB35*$AB$2)+(AC35*$AC$2)+(AD35*$AD$2)+(AE35*$AE$2)+(AF35*$AF$2)+(AG35*$AG$2)+(AH35*$AH$2)+(AI35*$AI$2)+(AJ35*$AJ$2)+(AK35*$AK$2)+(AL35*$AL$2)+(AM35*$AM$2)+(AN35*$AN$2)+(AO35*$AO$2)+(AP35*$AP$2)+(AQ35*$AQ$2)+(AR35*$AR$2)+(AS35*$AS$2)+(AT35*$AT$2)+(AU35*$AU$2)+(AV35*$AV$2)+(AW35*$AW$2))</f>
        <v>160</v>
      </c>
      <c r="G35" s="8" t="s">
        <v>6</v>
      </c>
      <c r="H35" s="9">
        <v>25</v>
      </c>
      <c r="I35" s="9"/>
      <c r="J35" s="9"/>
      <c r="K35" s="93">
        <f>+F35-I35+J35-H35</f>
        <v>135</v>
      </c>
      <c r="L35" s="254">
        <v>135</v>
      </c>
      <c r="M35" s="251">
        <f>+K35-L35</f>
        <v>0</v>
      </c>
      <c r="N35" s="251" t="s">
        <v>545</v>
      </c>
      <c r="O35" s="251">
        <f>320-160</f>
        <v>160</v>
      </c>
      <c r="P35" s="251">
        <f>+L35-O35</f>
        <v>-25</v>
      </c>
      <c r="Q35" s="285" t="s">
        <v>275</v>
      </c>
      <c r="R35" s="5"/>
      <c r="S35" s="8"/>
      <c r="T35" s="8"/>
      <c r="U35" s="8"/>
      <c r="V35" s="8"/>
      <c r="W35" s="8"/>
      <c r="X35" s="8">
        <v>1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194">
        <f>IF($G35="Youth 0-3",1,0)</f>
        <v>0</v>
      </c>
      <c r="AY35" s="194">
        <f>IF($G35="Youth 4-11",1,0)</f>
        <v>0</v>
      </c>
      <c r="AZ35" s="194">
        <f>IF($G35="Youth 12-15",1,0)</f>
        <v>0</v>
      </c>
      <c r="BA35" s="194">
        <f>IF($G35="Addict",1,0)</f>
        <v>0</v>
      </c>
      <c r="BB35" s="194">
        <f>IF($G35="Non-Addict",1,0)</f>
        <v>0</v>
      </c>
      <c r="BC35" s="194">
        <f>IF($G35="Free Reg Certificate",1,0)</f>
        <v>0</v>
      </c>
      <c r="BD35" s="194">
        <f>IF($G35="Newcomer",1,0)</f>
        <v>0</v>
      </c>
      <c r="BE35" s="194">
        <f>IF($G35="Committee",1,0)</f>
        <v>1</v>
      </c>
      <c r="BF35" s="194">
        <f>IF($G35="Treatment",1,0)</f>
        <v>0</v>
      </c>
      <c r="BG35" s="194">
        <f>IF($G35="Meeting Sponsored",1,0)</f>
        <v>0</v>
      </c>
      <c r="BH35" s="194">
        <f>IF($G35="Programming",1,0)</f>
        <v>0</v>
      </c>
      <c r="BI35" s="194">
        <f>IF($G35="Hardship",1,0)</f>
        <v>0</v>
      </c>
      <c r="BJ35" s="194">
        <f>IF($G35="Refund",1,0)</f>
        <v>0</v>
      </c>
      <c r="BK35" s="194">
        <f>IF($G35="Vermilion Bucks",1,0)</f>
        <v>0</v>
      </c>
      <c r="BL35" s="194">
        <f>IF($G35="Other",1,0)</f>
        <v>0</v>
      </c>
      <c r="BM35" s="286"/>
      <c r="BN35" s="286"/>
      <c r="BO35" s="286">
        <f>SUM(AX35:BL35)</f>
        <v>1</v>
      </c>
      <c r="BP35" s="287">
        <f>SUM(R35:AW35)</f>
        <v>1</v>
      </c>
      <c r="BQ35" s="287">
        <f>+BO35+BP35</f>
        <v>2</v>
      </c>
    </row>
    <row r="36" spans="1:69" s="7" customFormat="1" ht="10.199999999999999" customHeight="1" x14ac:dyDescent="0.2">
      <c r="A36" s="189" t="s">
        <v>379</v>
      </c>
      <c r="B36" s="187" t="s">
        <v>276</v>
      </c>
      <c r="C36" s="5">
        <v>100</v>
      </c>
      <c r="D36" s="6">
        <v>44341</v>
      </c>
      <c r="E36" s="284">
        <f>IF($D36 = 0,0,DATEDIF($D36,$D$7,"D"))</f>
        <v>109</v>
      </c>
      <c r="F36" s="193">
        <f>((R36*$R$2)+(S36*$S$2)+(T36*$T$2)++(U36*$U$2)++(V36*$V$2)++(W36*$W$2)++(X36*$X$2)++(Y36*$Y$2)+(Z36*$Z$2)+(AA36*$AA$2)+(AB36*$AB$2)+(AC36*$AC$2)+(AD36*$AD$2)+(AE36*$AE$2)+(AF36*$AF$2)+(AG36*$AG$2)+(AH36*$AH$2)+(AI36*$AI$2)+(AJ36*$AJ$2)+(AK36*$AK$2)+(AL36*$AL$2)+(AM36*$AM$2)+(AN36*$AN$2)+(AO36*$AO$2)+(AP36*$AP$2)+(AQ36*$AQ$2)+(AR36*$AR$2)+(AS36*$AS$2)+(AT36*$AT$2)+(AU36*$AU$2)+(AV36*$AV$2)+(AW36*$AW$2))</f>
        <v>160</v>
      </c>
      <c r="G36" s="8" t="s">
        <v>38</v>
      </c>
      <c r="H36" s="9"/>
      <c r="I36" s="9"/>
      <c r="J36" s="9"/>
      <c r="K36" s="93">
        <f>+F36-I36+J36-H36</f>
        <v>160</v>
      </c>
      <c r="L36" s="269">
        <v>160</v>
      </c>
      <c r="M36" s="253">
        <f>+K36-L36</f>
        <v>0</v>
      </c>
      <c r="N36" s="253" t="s">
        <v>545</v>
      </c>
      <c r="O36" s="253">
        <v>160</v>
      </c>
      <c r="P36" s="253">
        <f>+L36-O36</f>
        <v>0</v>
      </c>
      <c r="Q36" s="271" t="s">
        <v>275</v>
      </c>
      <c r="R36" s="5"/>
      <c r="S36" s="8"/>
      <c r="T36" s="8"/>
      <c r="U36" s="8"/>
      <c r="V36" s="8"/>
      <c r="W36" s="8"/>
      <c r="X36" s="8">
        <v>1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194">
        <f>IF($G36="Youth 0-3",1,0)</f>
        <v>0</v>
      </c>
      <c r="AY36" s="194">
        <f>IF($G36="Youth 4-11",1,0)</f>
        <v>0</v>
      </c>
      <c r="AZ36" s="194">
        <f>IF($G36="Youth 12-15",1,0)</f>
        <v>0</v>
      </c>
      <c r="BA36" s="194">
        <f>IF($G36="Addict",1,0)</f>
        <v>1</v>
      </c>
      <c r="BB36" s="194">
        <f>IF($G36="Non-Addict",1,0)</f>
        <v>0</v>
      </c>
      <c r="BC36" s="194">
        <f>IF($G36="Free Reg Certificate",1,0)</f>
        <v>0</v>
      </c>
      <c r="BD36" s="194">
        <f>IF($G36="Newcomer",1,0)</f>
        <v>0</v>
      </c>
      <c r="BE36" s="194">
        <f>IF($G36="Committee",1,0)</f>
        <v>0</v>
      </c>
      <c r="BF36" s="194">
        <f>IF($G36="Treatment",1,0)</f>
        <v>0</v>
      </c>
      <c r="BG36" s="194">
        <f>IF($G36="Meeting Sponsored",1,0)</f>
        <v>0</v>
      </c>
      <c r="BH36" s="194">
        <f>IF($G36="Programming",1,0)</f>
        <v>0</v>
      </c>
      <c r="BI36" s="194">
        <f>IF($G36="Hardship",1,0)</f>
        <v>0</v>
      </c>
      <c r="BJ36" s="194">
        <f>IF($G36="Refund",1,0)</f>
        <v>0</v>
      </c>
      <c r="BK36" s="194">
        <f>IF($G36="Vermilion Bucks",1,0)</f>
        <v>0</v>
      </c>
      <c r="BL36" s="194">
        <f>IF($G36="Other",1,0)</f>
        <v>0</v>
      </c>
      <c r="BM36" s="286"/>
      <c r="BN36" s="286"/>
      <c r="BO36" s="286">
        <f>SUM(AX36:BL36)</f>
        <v>1</v>
      </c>
      <c r="BP36" s="287">
        <f>SUM(R36:AW36)</f>
        <v>1</v>
      </c>
      <c r="BQ36" s="287">
        <f>+BO36+BP36</f>
        <v>2</v>
      </c>
    </row>
    <row r="37" spans="1:69" s="7" customFormat="1" ht="10.199999999999999" customHeight="1" x14ac:dyDescent="0.2">
      <c r="A37" s="182" t="s">
        <v>470</v>
      </c>
      <c r="B37" s="177" t="s">
        <v>253</v>
      </c>
      <c r="C37" s="5">
        <v>214</v>
      </c>
      <c r="D37" s="6"/>
      <c r="E37" s="284">
        <f>IF($D37 = 0,0,DATEDIF($D37,$D$7,"D"))</f>
        <v>0</v>
      </c>
      <c r="F37" s="193">
        <f>((R37*$R$2)+(S37*$S$2)+(T37*$T$2)++(U37*$U$2)++(V37*$V$2)++(W37*$W$2)++(X37*$X$2)++(Y37*$Y$2)+(Z37*$Z$2)+(AA37*$AA$2)+(AB37*$AB$2)+(AC37*$AC$2)+(AD37*$AD$2)+(AE37*$AE$2)+(AF37*$AF$2)+(AG37*$AG$2)+(AH37*$AH$2)+(AI37*$AI$2)+(AJ37*$AJ$2)+(AK37*$AK$2)+(AL37*$AL$2)+(AM37*$AM$2)+(AN37*$AN$2)+(AO37*$AO$2)+(AP37*$AP$2)+(AQ37*$AQ$2)+(AR37*$AR$2)+(AS37*$AS$2)+(AT37*$AT$2)+(AU37*$AU$2)+(AV37*$AV$2)+(AW37*$AW$2))</f>
        <v>125</v>
      </c>
      <c r="G37" s="8" t="s">
        <v>38</v>
      </c>
      <c r="H37" s="9"/>
      <c r="I37" s="9"/>
      <c r="J37" s="9"/>
      <c r="K37" s="93">
        <f>+F37-I37+J37-H37</f>
        <v>125</v>
      </c>
      <c r="L37" s="64">
        <v>125</v>
      </c>
      <c r="M37" s="253">
        <f>+K37-L37</f>
        <v>0</v>
      </c>
      <c r="N37" s="253" t="s">
        <v>545</v>
      </c>
      <c r="O37" s="253">
        <v>125</v>
      </c>
      <c r="P37" s="253">
        <f>+L37-O37</f>
        <v>0</v>
      </c>
      <c r="Q37" s="271" t="s">
        <v>252</v>
      </c>
      <c r="R37" s="5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>
        <v>1</v>
      </c>
      <c r="AR37" s="8"/>
      <c r="AS37" s="8"/>
      <c r="AT37" s="8"/>
      <c r="AU37" s="8"/>
      <c r="AV37" s="8"/>
      <c r="AW37" s="8"/>
      <c r="AX37" s="194">
        <f>IF($G37="Youth 0-3",1,0)</f>
        <v>0</v>
      </c>
      <c r="AY37" s="194">
        <f>IF($G37="Youth 4-11",1,0)</f>
        <v>0</v>
      </c>
      <c r="AZ37" s="194">
        <f>IF($G37="Youth 12-15",1,0)</f>
        <v>0</v>
      </c>
      <c r="BA37" s="194">
        <f>IF($G37="Addict",1,0)</f>
        <v>1</v>
      </c>
      <c r="BB37" s="194">
        <f>IF($G37="Non-Addict",1,0)</f>
        <v>0</v>
      </c>
      <c r="BC37" s="194">
        <f>IF($G37="Free Reg Certificate",1,0)</f>
        <v>0</v>
      </c>
      <c r="BD37" s="194">
        <f>IF($G37="Newcomer",1,0)</f>
        <v>0</v>
      </c>
      <c r="BE37" s="194">
        <f>IF($G37="Committee",1,0)</f>
        <v>0</v>
      </c>
      <c r="BF37" s="194">
        <f>IF($G37="Treatment",1,0)</f>
        <v>0</v>
      </c>
      <c r="BG37" s="194">
        <f>IF($G37="Meeting Sponsored",1,0)</f>
        <v>0</v>
      </c>
      <c r="BH37" s="194">
        <f>IF($G37="Programming",1,0)</f>
        <v>0</v>
      </c>
      <c r="BI37" s="194">
        <f>IF($G37="Hardship",1,0)</f>
        <v>0</v>
      </c>
      <c r="BJ37" s="194">
        <f>IF($G37="Refund",1,0)</f>
        <v>0</v>
      </c>
      <c r="BK37" s="194">
        <f>IF($G37="Vermilion Bucks",1,0)</f>
        <v>0</v>
      </c>
      <c r="BL37" s="194">
        <f>IF($G37="Other",1,0)</f>
        <v>0</v>
      </c>
      <c r="BM37" s="286"/>
      <c r="BN37" s="286"/>
      <c r="BO37" s="286">
        <f>SUM(AX37:BL37)</f>
        <v>1</v>
      </c>
      <c r="BP37" s="287">
        <f>SUM(R37:AW37)</f>
        <v>1</v>
      </c>
      <c r="BQ37" s="287">
        <f>+BO37+BP37</f>
        <v>2</v>
      </c>
    </row>
    <row r="38" spans="1:69" s="7" customFormat="1" ht="10.199999999999999" customHeight="1" x14ac:dyDescent="0.2">
      <c r="A38" s="182" t="s">
        <v>468</v>
      </c>
      <c r="B38" s="177" t="s">
        <v>253</v>
      </c>
      <c r="C38" s="5">
        <v>214</v>
      </c>
      <c r="D38" s="6">
        <v>36504</v>
      </c>
      <c r="E38" s="284">
        <f>IF($D38 = 0,0,DATEDIF($D38,$D$7,"D"))</f>
        <v>7946</v>
      </c>
      <c r="F38" s="193">
        <f>((R38*$R$2)+(S38*$S$2)+(T38*$T$2)++(U38*$U$2)++(V38*$V$2)++(W38*$W$2)++(X38*$X$2)++(Y38*$Y$2)+(Z38*$Z$2)+(AA38*$AA$2)+(AB38*$AB$2)+(AC38*$AC$2)+(AD38*$AD$2)+(AE38*$AE$2)+(AF38*$AF$2)+(AG38*$AG$2)+(AH38*$AH$2)+(AI38*$AI$2)+(AJ38*$AJ$2)+(AK38*$AK$2)+(AL38*$AL$2)+(AM38*$AM$2)+(AN38*$AN$2)+(AO38*$AO$2)+(AP38*$AP$2)+(AQ38*$AQ$2)+(AR38*$AR$2)+(AS38*$AS$2)+(AT38*$AT$2)+(AU38*$AU$2)+(AV38*$AV$2)+(AW38*$AW$2))</f>
        <v>125</v>
      </c>
      <c r="G38" s="8" t="s">
        <v>38</v>
      </c>
      <c r="H38" s="9"/>
      <c r="I38" s="9"/>
      <c r="J38" s="9"/>
      <c r="K38" s="93">
        <f>+F38-I38+J38-H38</f>
        <v>125</v>
      </c>
      <c r="L38" s="64">
        <v>125</v>
      </c>
      <c r="M38" s="253">
        <f>+K38-L38</f>
        <v>0</v>
      </c>
      <c r="N38" s="253" t="s">
        <v>545</v>
      </c>
      <c r="O38" s="253">
        <v>125</v>
      </c>
      <c r="P38" s="253">
        <f>+L38-O38</f>
        <v>0</v>
      </c>
      <c r="Q38" s="271" t="s">
        <v>252</v>
      </c>
      <c r="R38" s="5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>
        <v>1</v>
      </c>
      <c r="AR38" s="8"/>
      <c r="AS38" s="8"/>
      <c r="AT38" s="8"/>
      <c r="AU38" s="8"/>
      <c r="AV38" s="8"/>
      <c r="AW38" s="8"/>
      <c r="AX38" s="194">
        <f>IF($G38="Youth 0-3",1,0)</f>
        <v>0</v>
      </c>
      <c r="AY38" s="194">
        <f>IF($G38="Youth 4-11",1,0)</f>
        <v>0</v>
      </c>
      <c r="AZ38" s="194">
        <f>IF($G38="Youth 12-15",1,0)</f>
        <v>0</v>
      </c>
      <c r="BA38" s="194">
        <f>IF($G38="Addict",1,0)</f>
        <v>1</v>
      </c>
      <c r="BB38" s="194">
        <f>IF($G38="Non-Addict",1,0)</f>
        <v>0</v>
      </c>
      <c r="BC38" s="194">
        <f>IF($G38="Free Reg Certificate",1,0)</f>
        <v>0</v>
      </c>
      <c r="BD38" s="194">
        <f>IF($G38="Newcomer",1,0)</f>
        <v>0</v>
      </c>
      <c r="BE38" s="194">
        <f>IF($G38="Committee",1,0)</f>
        <v>0</v>
      </c>
      <c r="BF38" s="194">
        <f>IF($G38="Treatment",1,0)</f>
        <v>0</v>
      </c>
      <c r="BG38" s="194">
        <f>IF($G38="Meeting Sponsored",1,0)</f>
        <v>0</v>
      </c>
      <c r="BH38" s="194">
        <f>IF($G38="Programming",1,0)</f>
        <v>0</v>
      </c>
      <c r="BI38" s="194">
        <f>IF($G38="Hardship",1,0)</f>
        <v>0</v>
      </c>
      <c r="BJ38" s="194">
        <f>IF($G38="Refund",1,0)</f>
        <v>0</v>
      </c>
      <c r="BK38" s="194">
        <f>IF($G38="Vermilion Bucks",1,0)</f>
        <v>0</v>
      </c>
      <c r="BL38" s="194">
        <f>IF($G38="Other",1,0)</f>
        <v>0</v>
      </c>
      <c r="BM38" s="286"/>
      <c r="BN38" s="286"/>
      <c r="BO38" s="286">
        <f>SUM(AX38:BL38)</f>
        <v>1</v>
      </c>
      <c r="BP38" s="287">
        <f>SUM(R38:AW38)</f>
        <v>1</v>
      </c>
      <c r="BQ38" s="287">
        <f>+BO38+BP38</f>
        <v>2</v>
      </c>
    </row>
    <row r="39" spans="1:69" s="7" customFormat="1" x14ac:dyDescent="0.2">
      <c r="A39" s="182" t="s">
        <v>252</v>
      </c>
      <c r="B39" s="177" t="s">
        <v>253</v>
      </c>
      <c r="C39" s="5">
        <v>214</v>
      </c>
      <c r="D39" s="6">
        <v>40637</v>
      </c>
      <c r="E39" s="284">
        <f>IF($D39 = 0,0,DATEDIF($D39,$D$7,"D"))</f>
        <v>3813</v>
      </c>
      <c r="F39" s="193">
        <f>((R39*$R$2)+(S39*$S$2)+(T39*$T$2)++(U39*$U$2)++(V39*$V$2)++(W39*$W$2)++(X39*$X$2)++(Y39*$Y$2)+(Z39*$Z$2)+(AA39*$AA$2)+(AB39*$AB$2)+(AC39*$AC$2)+(AD39*$AD$2)+(AE39*$AE$2)+(AF39*$AF$2)+(AG39*$AG$2)+(AH39*$AH$2)+(AI39*$AI$2)+(AJ39*$AJ$2)+(AK39*$AK$2)+(AL39*$AL$2)+(AM39*$AM$2)+(AN39*$AN$2)+(AO39*$AO$2)+(AP39*$AP$2)+(AQ39*$AQ$2)+(AR39*$AR$2)+(AS39*$AS$2)+(AT39*$AT$2)+(AU39*$AU$2)+(AV39*$AV$2)+(AW39*$AW$2))</f>
        <v>125</v>
      </c>
      <c r="G39" s="8" t="s">
        <v>38</v>
      </c>
      <c r="H39" s="9"/>
      <c r="I39" s="9"/>
      <c r="J39" s="9"/>
      <c r="K39" s="93">
        <f>+F39-I39+J39-H39</f>
        <v>125</v>
      </c>
      <c r="L39" s="64">
        <v>125</v>
      </c>
      <c r="M39" s="253">
        <f>+K39-L39</f>
        <v>0</v>
      </c>
      <c r="N39" s="253" t="s">
        <v>545</v>
      </c>
      <c r="O39" s="253">
        <v>125</v>
      </c>
      <c r="P39" s="253">
        <f>+L39-O39</f>
        <v>0</v>
      </c>
      <c r="Q39" s="271" t="s">
        <v>252</v>
      </c>
      <c r="R39" s="5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>
        <v>1</v>
      </c>
      <c r="AR39" s="8"/>
      <c r="AS39" s="8"/>
      <c r="AT39" s="8"/>
      <c r="AU39" s="8"/>
      <c r="AV39" s="8"/>
      <c r="AW39" s="8"/>
      <c r="AX39" s="194">
        <f>IF($G39="Youth 0-3",1,0)</f>
        <v>0</v>
      </c>
      <c r="AY39" s="194">
        <f>IF($G39="Youth 4-11",1,0)</f>
        <v>0</v>
      </c>
      <c r="AZ39" s="194">
        <f>IF($G39="Youth 12-15",1,0)</f>
        <v>0</v>
      </c>
      <c r="BA39" s="194">
        <f>IF($G39="Addict",1,0)</f>
        <v>1</v>
      </c>
      <c r="BB39" s="194">
        <f>IF($G39="Non-Addict",1,0)</f>
        <v>0</v>
      </c>
      <c r="BC39" s="194">
        <f>IF($G39="Free Reg Certificate",1,0)</f>
        <v>0</v>
      </c>
      <c r="BD39" s="194">
        <f>IF($G39="Newcomer",1,0)</f>
        <v>0</v>
      </c>
      <c r="BE39" s="194">
        <f>IF($G39="Committee",1,0)</f>
        <v>0</v>
      </c>
      <c r="BF39" s="194">
        <f>IF($G39="Treatment",1,0)</f>
        <v>0</v>
      </c>
      <c r="BG39" s="194">
        <f>IF($G39="Meeting Sponsored",1,0)</f>
        <v>0</v>
      </c>
      <c r="BH39" s="194">
        <f>IF($G39="Programming",1,0)</f>
        <v>0</v>
      </c>
      <c r="BI39" s="194">
        <f>IF($G39="Hardship",1,0)</f>
        <v>0</v>
      </c>
      <c r="BJ39" s="194">
        <f>IF($G39="Refund",1,0)</f>
        <v>0</v>
      </c>
      <c r="BK39" s="194">
        <f>IF($G39="Vermilion Bucks",1,0)</f>
        <v>0</v>
      </c>
      <c r="BL39" s="194">
        <f>IF($G39="Other",1,0)</f>
        <v>0</v>
      </c>
      <c r="BM39" s="286"/>
      <c r="BN39" s="286"/>
      <c r="BO39" s="286">
        <f>SUM(AX39:BL39)</f>
        <v>1</v>
      </c>
      <c r="BP39" s="287">
        <f>SUM(R39:AW39)</f>
        <v>1</v>
      </c>
      <c r="BQ39" s="287">
        <f>+BO39+BP39</f>
        <v>2</v>
      </c>
    </row>
    <row r="40" spans="1:69" s="7" customFormat="1" ht="10.199999999999999" customHeight="1" x14ac:dyDescent="0.2">
      <c r="A40" s="182" t="s">
        <v>469</v>
      </c>
      <c r="B40" s="177" t="s">
        <v>253</v>
      </c>
      <c r="C40" s="5">
        <v>214</v>
      </c>
      <c r="D40" s="6">
        <v>43656</v>
      </c>
      <c r="E40" s="284">
        <f>IF($D40 = 0,0,DATEDIF($D40,$D$7,"D"))</f>
        <v>794</v>
      </c>
      <c r="F40" s="193">
        <f>((R40*$R$2)+(S40*$S$2)+(T40*$T$2)++(U40*$U$2)++(V40*$V$2)++(W40*$W$2)++(X40*$X$2)++(Y40*$Y$2)+(Z40*$Z$2)+(AA40*$AA$2)+(AB40*$AB$2)+(AC40*$AC$2)+(AD40*$AD$2)+(AE40*$AE$2)+(AF40*$AF$2)+(AG40*$AG$2)+(AH40*$AH$2)+(AI40*$AI$2)+(AJ40*$AJ$2)+(AK40*$AK$2)+(AL40*$AL$2)+(AM40*$AM$2)+(AN40*$AN$2)+(AO40*$AO$2)+(AP40*$AP$2)+(AQ40*$AQ$2)+(AR40*$AR$2)+(AS40*$AS$2)+(AT40*$AT$2)+(AU40*$AU$2)+(AV40*$AV$2)+(AW40*$AW$2))</f>
        <v>125</v>
      </c>
      <c r="G40" s="8" t="s">
        <v>38</v>
      </c>
      <c r="H40" s="9"/>
      <c r="I40" s="9"/>
      <c r="J40" s="9"/>
      <c r="K40" s="93">
        <f>+F40-I40+J40-H40</f>
        <v>125</v>
      </c>
      <c r="L40" s="64">
        <v>125</v>
      </c>
      <c r="M40" s="253">
        <f>+K40-L40</f>
        <v>0</v>
      </c>
      <c r="N40" s="253" t="s">
        <v>545</v>
      </c>
      <c r="O40" s="253">
        <v>125</v>
      </c>
      <c r="P40" s="253">
        <f>+L40-O40</f>
        <v>0</v>
      </c>
      <c r="Q40" s="271" t="s">
        <v>252</v>
      </c>
      <c r="R40" s="5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>
        <v>1</v>
      </c>
      <c r="AR40" s="8"/>
      <c r="AS40" s="8"/>
      <c r="AT40" s="8"/>
      <c r="AU40" s="8"/>
      <c r="AV40" s="8"/>
      <c r="AW40" s="8"/>
      <c r="AX40" s="194">
        <f>IF($G40="Youth 0-3",1,0)</f>
        <v>0</v>
      </c>
      <c r="AY40" s="194">
        <f>IF($G40="Youth 4-11",1,0)</f>
        <v>0</v>
      </c>
      <c r="AZ40" s="194">
        <f>IF($G40="Youth 12-15",1,0)</f>
        <v>0</v>
      </c>
      <c r="BA40" s="194">
        <f>IF($G40="Addict",1,0)</f>
        <v>1</v>
      </c>
      <c r="BB40" s="194">
        <f>IF($G40="Non-Addict",1,0)</f>
        <v>0</v>
      </c>
      <c r="BC40" s="194">
        <f>IF($G40="Free Reg Certificate",1,0)</f>
        <v>0</v>
      </c>
      <c r="BD40" s="194">
        <f>IF($G40="Newcomer",1,0)</f>
        <v>0</v>
      </c>
      <c r="BE40" s="194">
        <f>IF($G40="Committee",1,0)</f>
        <v>0</v>
      </c>
      <c r="BF40" s="194">
        <f>IF($G40="Treatment",1,0)</f>
        <v>0</v>
      </c>
      <c r="BG40" s="194">
        <f>IF($G40="Meeting Sponsored",1,0)</f>
        <v>0</v>
      </c>
      <c r="BH40" s="194">
        <f>IF($G40="Programming",1,0)</f>
        <v>0</v>
      </c>
      <c r="BI40" s="194">
        <f>IF($G40="Hardship",1,0)</f>
        <v>0</v>
      </c>
      <c r="BJ40" s="194">
        <f>IF($G40="Refund",1,0)</f>
        <v>0</v>
      </c>
      <c r="BK40" s="194">
        <f>IF($G40="Vermilion Bucks",1,0)</f>
        <v>0</v>
      </c>
      <c r="BL40" s="194">
        <f>IF($G40="Other",1,0)</f>
        <v>0</v>
      </c>
      <c r="BM40" s="286"/>
      <c r="BN40" s="286"/>
      <c r="BO40" s="286">
        <f>SUM(AX40:BL40)</f>
        <v>1</v>
      </c>
      <c r="BP40" s="287">
        <f>SUM(R40:AW40)</f>
        <v>1</v>
      </c>
      <c r="BQ40" s="287">
        <f>+BO40+BP40</f>
        <v>2</v>
      </c>
    </row>
    <row r="41" spans="1:69" s="7" customFormat="1" ht="10.199999999999999" customHeight="1" x14ac:dyDescent="0.2">
      <c r="A41" s="182" t="s">
        <v>472</v>
      </c>
      <c r="B41" s="177" t="s">
        <v>253</v>
      </c>
      <c r="C41" s="5">
        <v>214</v>
      </c>
      <c r="D41" s="6"/>
      <c r="E41" s="284">
        <f>IF($D41 = 0,0,DATEDIF($D41,$D$7,"D"))</f>
        <v>0</v>
      </c>
      <c r="F41" s="193">
        <f>((R41*$R$2)+(S41*$S$2)+(T41*$T$2)++(U41*$U$2)++(V41*$V$2)++(W41*$W$2)++(X41*$X$2)++(Y41*$Y$2)+(Z41*$Z$2)+(AA41*$AA$2)+(AB41*$AB$2)+(AC41*$AC$2)+(AD41*$AD$2)+(AE41*$AE$2)+(AF41*$AF$2)+(AG41*$AG$2)+(AH41*$AH$2)+(AI41*$AI$2)+(AJ41*$AJ$2)+(AK41*$AK$2)+(AL41*$AL$2)+(AM41*$AM$2)+(AN41*$AN$2)+(AO41*$AO$2)+(AP41*$AP$2)+(AQ41*$AQ$2)+(AR41*$AR$2)+(AS41*$AS$2)+(AT41*$AT$2)+(AU41*$AU$2)+(AV41*$AV$2)+(AW41*$AW$2))</f>
        <v>125</v>
      </c>
      <c r="G41" s="8" t="s">
        <v>38</v>
      </c>
      <c r="H41" s="9"/>
      <c r="I41" s="9"/>
      <c r="J41" s="9"/>
      <c r="K41" s="93">
        <f>+F41-I41+J41-H41</f>
        <v>125</v>
      </c>
      <c r="L41" s="64">
        <v>125</v>
      </c>
      <c r="M41" s="253">
        <f>+K41-L41</f>
        <v>0</v>
      </c>
      <c r="N41" s="253" t="s">
        <v>545</v>
      </c>
      <c r="O41" s="253">
        <v>125</v>
      </c>
      <c r="P41" s="253">
        <f>+L41-O41</f>
        <v>0</v>
      </c>
      <c r="Q41" s="271" t="s">
        <v>252</v>
      </c>
      <c r="R41" s="5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>
        <v>1</v>
      </c>
      <c r="AR41" s="8"/>
      <c r="AS41" s="8"/>
      <c r="AT41" s="8"/>
      <c r="AU41" s="8"/>
      <c r="AV41" s="8"/>
      <c r="AW41" s="8"/>
      <c r="AX41" s="194">
        <f>IF($G41="Youth 0-3",1,0)</f>
        <v>0</v>
      </c>
      <c r="AY41" s="194">
        <f>IF($G41="Youth 4-11",1,0)</f>
        <v>0</v>
      </c>
      <c r="AZ41" s="194">
        <f>IF($G41="Youth 12-15",1,0)</f>
        <v>0</v>
      </c>
      <c r="BA41" s="194">
        <f>IF($G41="Addict",1,0)</f>
        <v>1</v>
      </c>
      <c r="BB41" s="194">
        <f>IF($G41="Non-Addict",1,0)</f>
        <v>0</v>
      </c>
      <c r="BC41" s="194">
        <f>IF($G41="Free Reg Certificate",1,0)</f>
        <v>0</v>
      </c>
      <c r="BD41" s="194">
        <f>IF($G41="Newcomer",1,0)</f>
        <v>0</v>
      </c>
      <c r="BE41" s="194">
        <f>IF($G41="Committee",1,0)</f>
        <v>0</v>
      </c>
      <c r="BF41" s="194">
        <f>IF($G41="Treatment",1,0)</f>
        <v>0</v>
      </c>
      <c r="BG41" s="194">
        <f>IF($G41="Meeting Sponsored",1,0)</f>
        <v>0</v>
      </c>
      <c r="BH41" s="194">
        <f>IF($G41="Programming",1,0)</f>
        <v>0</v>
      </c>
      <c r="BI41" s="194">
        <f>IF($G41="Hardship",1,0)</f>
        <v>0</v>
      </c>
      <c r="BJ41" s="194">
        <f>IF($G41="Refund",1,0)</f>
        <v>0</v>
      </c>
      <c r="BK41" s="194">
        <f>IF($G41="Vermilion Bucks",1,0)</f>
        <v>0</v>
      </c>
      <c r="BL41" s="194">
        <f>IF($G41="Other",1,0)</f>
        <v>0</v>
      </c>
      <c r="BM41" s="286"/>
      <c r="BN41" s="286"/>
      <c r="BO41" s="286">
        <f>SUM(AX41:BL41)</f>
        <v>1</v>
      </c>
      <c r="BP41" s="287">
        <f>SUM(R41:AW41)</f>
        <v>1</v>
      </c>
      <c r="BQ41" s="287">
        <f>+BO41+BP41</f>
        <v>2</v>
      </c>
    </row>
    <row r="42" spans="1:69" s="7" customFormat="1" x14ac:dyDescent="0.2">
      <c r="A42" s="182" t="s">
        <v>471</v>
      </c>
      <c r="B42" s="177" t="s">
        <v>253</v>
      </c>
      <c r="C42" s="5">
        <v>214</v>
      </c>
      <c r="D42" s="6"/>
      <c r="E42" s="284">
        <f>IF($D42 = 0,0,DATEDIF($D42,$D$7,"D"))</f>
        <v>0</v>
      </c>
      <c r="F42" s="193">
        <f>((R42*$R$2)+(S42*$S$2)+(T42*$T$2)++(U42*$U$2)++(V42*$V$2)++(W42*$W$2)++(X42*$X$2)++(Y42*$Y$2)+(Z42*$Z$2)+(AA42*$AA$2)+(AB42*$AB$2)+(AC42*$AC$2)+(AD42*$AD$2)+(AE42*$AE$2)+(AF42*$AF$2)+(AG42*$AG$2)+(AH42*$AH$2)+(AI42*$AI$2)+(AJ42*$AJ$2)+(AK42*$AK$2)+(AL42*$AL$2)+(AM42*$AM$2)+(AN42*$AN$2)+(AO42*$AO$2)+(AP42*$AP$2)+(AQ42*$AQ$2)+(AR42*$AR$2)+(AS42*$AS$2)+(AT42*$AT$2)+(AU42*$AU$2)+(AV42*$AV$2)+(AW42*$AW$2))</f>
        <v>125</v>
      </c>
      <c r="G42" s="8" t="s">
        <v>38</v>
      </c>
      <c r="H42" s="9"/>
      <c r="I42" s="9"/>
      <c r="J42" s="9"/>
      <c r="K42" s="93">
        <f>+F42-I42+J42-H42</f>
        <v>125</v>
      </c>
      <c r="L42" s="64">
        <v>125</v>
      </c>
      <c r="M42" s="253">
        <f>+K42-L42</f>
        <v>0</v>
      </c>
      <c r="N42" s="253" t="s">
        <v>545</v>
      </c>
      <c r="O42" s="253">
        <v>125</v>
      </c>
      <c r="P42" s="253">
        <f>+L42-O42</f>
        <v>0</v>
      </c>
      <c r="Q42" s="271" t="s">
        <v>252</v>
      </c>
      <c r="R42" s="5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>
        <v>1</v>
      </c>
      <c r="AR42" s="8"/>
      <c r="AS42" s="8"/>
      <c r="AT42" s="8"/>
      <c r="AU42" s="8"/>
      <c r="AV42" s="8"/>
      <c r="AW42" s="8"/>
      <c r="AX42" s="194">
        <f>IF($G42="Youth 0-3",1,0)</f>
        <v>0</v>
      </c>
      <c r="AY42" s="194">
        <f>IF($G42="Youth 4-11",1,0)</f>
        <v>0</v>
      </c>
      <c r="AZ42" s="194">
        <f>IF($G42="Youth 12-15",1,0)</f>
        <v>0</v>
      </c>
      <c r="BA42" s="194">
        <f>IF($G42="Addict",1,0)</f>
        <v>1</v>
      </c>
      <c r="BB42" s="194">
        <f>IF($G42="Non-Addict",1,0)</f>
        <v>0</v>
      </c>
      <c r="BC42" s="194">
        <f>IF($G42="Free Reg Certificate",1,0)</f>
        <v>0</v>
      </c>
      <c r="BD42" s="194">
        <f>IF($G42="Newcomer",1,0)</f>
        <v>0</v>
      </c>
      <c r="BE42" s="194">
        <f>IF($G42="Committee",1,0)</f>
        <v>0</v>
      </c>
      <c r="BF42" s="194">
        <f>IF($G42="Treatment",1,0)</f>
        <v>0</v>
      </c>
      <c r="BG42" s="194">
        <f>IF($G42="Meeting Sponsored",1,0)</f>
        <v>0</v>
      </c>
      <c r="BH42" s="194">
        <f>IF($G42="Programming",1,0)</f>
        <v>0</v>
      </c>
      <c r="BI42" s="194">
        <f>IF($G42="Hardship",1,0)</f>
        <v>0</v>
      </c>
      <c r="BJ42" s="194">
        <f>IF($G42="Refund",1,0)</f>
        <v>0</v>
      </c>
      <c r="BK42" s="194">
        <f>IF($G42="Vermilion Bucks",1,0)</f>
        <v>0</v>
      </c>
      <c r="BL42" s="194">
        <f>IF($G42="Other",1,0)</f>
        <v>0</v>
      </c>
      <c r="BM42" s="286"/>
      <c r="BN42" s="286"/>
      <c r="BO42" s="286">
        <f>SUM(AX42:BL42)</f>
        <v>1</v>
      </c>
      <c r="BP42" s="287">
        <f>SUM(R42:AW42)</f>
        <v>1</v>
      </c>
      <c r="BQ42" s="287">
        <f>+BO42+BP42</f>
        <v>2</v>
      </c>
    </row>
    <row r="43" spans="1:69" s="7" customFormat="1" x14ac:dyDescent="0.2">
      <c r="A43" s="182" t="s">
        <v>248</v>
      </c>
      <c r="B43" s="177" t="s">
        <v>249</v>
      </c>
      <c r="C43" s="5"/>
      <c r="D43" s="6"/>
      <c r="E43" s="284">
        <f>IF($D43 = 0,0,DATEDIF($D43,$D$7,"D"))</f>
        <v>0</v>
      </c>
      <c r="F43" s="193">
        <f>((R43*$R$2)+(S43*$S$2)+(T43*$T$2)++(U43*$U$2)++(V43*$V$2)++(W43*$W$2)++(X43*$X$2)++(Y43*$Y$2)+(Z43*$Z$2)+(AA43*$AA$2)+(AB43*$AB$2)+(AC43*$AC$2)+(AD43*$AD$2)+(AE43*$AE$2)+(AF43*$AF$2)+(AG43*$AG$2)+(AH43*$AH$2)+(AI43*$AI$2)+(AJ43*$AJ$2)+(AK43*$AK$2)+(AL43*$AL$2)+(AM43*$AM$2)+(AN43*$AN$2)+(AO43*$AO$2)+(AP43*$AP$2)+(AQ43*$AQ$2)+(AR43*$AR$2)+(AS43*$AS$2)+(AT43*$AT$2)+(AU43*$AU$2)+(AV43*$AV$2)+(AW43*$AW$2))</f>
        <v>110</v>
      </c>
      <c r="G43" s="8" t="s">
        <v>38</v>
      </c>
      <c r="H43" s="9"/>
      <c r="I43" s="9"/>
      <c r="J43" s="9"/>
      <c r="K43" s="93">
        <f>+F43-I43+J43-H43</f>
        <v>110</v>
      </c>
      <c r="L43" s="64">
        <v>110</v>
      </c>
      <c r="M43" s="253">
        <f>+K43-L43</f>
        <v>0</v>
      </c>
      <c r="N43" s="253" t="s">
        <v>545</v>
      </c>
      <c r="O43" s="253">
        <v>110</v>
      </c>
      <c r="P43" s="253">
        <f>+L43-O43</f>
        <v>0</v>
      </c>
      <c r="Q43" s="271" t="s">
        <v>248</v>
      </c>
      <c r="R43" s="5"/>
      <c r="S43" s="8"/>
      <c r="T43" s="8">
        <v>1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194">
        <f>IF($G43="Youth 0-3",1,0)</f>
        <v>0</v>
      </c>
      <c r="AY43" s="194">
        <f>IF($G43="Youth 4-11",1,0)</f>
        <v>0</v>
      </c>
      <c r="AZ43" s="194">
        <f>IF($G43="Youth 12-15",1,0)</f>
        <v>0</v>
      </c>
      <c r="BA43" s="194">
        <f>IF($G43="Addict",1,0)</f>
        <v>1</v>
      </c>
      <c r="BB43" s="194">
        <f>IF($G43="Non-Addict",1,0)</f>
        <v>0</v>
      </c>
      <c r="BC43" s="194">
        <f>IF($G43="Free Reg Certificate",1,0)</f>
        <v>0</v>
      </c>
      <c r="BD43" s="194">
        <f>IF($G43="Newcomer",1,0)</f>
        <v>0</v>
      </c>
      <c r="BE43" s="194">
        <f>IF($G43="Committee",1,0)</f>
        <v>0</v>
      </c>
      <c r="BF43" s="194">
        <f>IF($G43="Treatment",1,0)</f>
        <v>0</v>
      </c>
      <c r="BG43" s="194">
        <f>IF($G43="Meeting Sponsored",1,0)</f>
        <v>0</v>
      </c>
      <c r="BH43" s="194">
        <f>IF($G43="Programming",1,0)</f>
        <v>0</v>
      </c>
      <c r="BI43" s="194">
        <f>IF($G43="Hardship",1,0)</f>
        <v>0</v>
      </c>
      <c r="BJ43" s="194">
        <f>IF($G43="Refund",1,0)</f>
        <v>0</v>
      </c>
      <c r="BK43" s="194">
        <f>IF($G43="Vermilion Bucks",1,0)</f>
        <v>0</v>
      </c>
      <c r="BL43" s="194">
        <f>IF($G43="Other",1,0)</f>
        <v>0</v>
      </c>
      <c r="BM43" s="286"/>
      <c r="BN43" s="286"/>
      <c r="BO43" s="286">
        <f>SUM(AX43:BL43)</f>
        <v>1</v>
      </c>
      <c r="BP43" s="287">
        <f>SUM(R43:AW43)</f>
        <v>1</v>
      </c>
      <c r="BQ43" s="287">
        <f>+BO43+BP43</f>
        <v>2</v>
      </c>
    </row>
    <row r="44" spans="1:69" s="7" customFormat="1" x14ac:dyDescent="0.2">
      <c r="A44" s="182" t="s">
        <v>259</v>
      </c>
      <c r="B44" s="272" t="s">
        <v>260</v>
      </c>
      <c r="C44" s="5">
        <v>81</v>
      </c>
      <c r="D44" s="6">
        <v>44308</v>
      </c>
      <c r="E44" s="284">
        <f>IF($D44 = 0,0,DATEDIF($D44,$D$7,"D"))</f>
        <v>142</v>
      </c>
      <c r="F44" s="193">
        <f>((R44*$R$2)+(S44*$S$2)+(T44*$T$2)++(U44*$U$2)++(V44*$V$2)++(W44*$W$2)++(X44*$X$2)++(Y44*$Y$2)+(Z44*$Z$2)+(AA44*$AA$2)+(AB44*$AB$2)+(AC44*$AC$2)+(AD44*$AD$2)+(AE44*$AE$2)+(AF44*$AF$2)+(AG44*$AG$2)+(AH44*$AH$2)+(AI44*$AI$2)+(AJ44*$AJ$2)+(AK44*$AK$2)+(AL44*$AL$2)+(AM44*$AM$2)+(AN44*$AN$2)+(AO44*$AO$2)+(AP44*$AP$2)+(AQ44*$AQ$2)+(AR44*$AR$2)+(AS44*$AS$2)+(AT44*$AT$2)+(AU44*$AU$2)+(AV44*$AV$2)+(AW44*$AW$2))</f>
        <v>125</v>
      </c>
      <c r="G44" s="8" t="s">
        <v>38</v>
      </c>
      <c r="H44" s="9"/>
      <c r="I44" s="9"/>
      <c r="J44" s="9"/>
      <c r="K44" s="93">
        <f>+F44-I44+J44-H44</f>
        <v>125</v>
      </c>
      <c r="L44" s="243">
        <v>125</v>
      </c>
      <c r="M44" s="251">
        <f>+K44-L44</f>
        <v>0</v>
      </c>
      <c r="N44" s="251" t="s">
        <v>545</v>
      </c>
      <c r="O44" s="251">
        <v>280</v>
      </c>
      <c r="P44" s="251">
        <f>+L44-O44</f>
        <v>-155</v>
      </c>
      <c r="Q44" s="285" t="s">
        <v>259</v>
      </c>
      <c r="R44" s="5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>
        <v>1</v>
      </c>
      <c r="AV44" s="8"/>
      <c r="AW44" s="8"/>
      <c r="AX44" s="194">
        <f>IF($G44="Youth 0-3",1,0)</f>
        <v>0</v>
      </c>
      <c r="AY44" s="194">
        <f>IF($G44="Youth 4-11",1,0)</f>
        <v>0</v>
      </c>
      <c r="AZ44" s="194">
        <f>IF($G44="Youth 12-15",1,0)</f>
        <v>0</v>
      </c>
      <c r="BA44" s="194">
        <f>IF($G44="Addict",1,0)</f>
        <v>1</v>
      </c>
      <c r="BB44" s="194">
        <f>IF($G44="Non-Addict",1,0)</f>
        <v>0</v>
      </c>
      <c r="BC44" s="194">
        <f>IF($G44="Free Reg Certificate",1,0)</f>
        <v>0</v>
      </c>
      <c r="BD44" s="194">
        <f>IF($G44="Newcomer",1,0)</f>
        <v>0</v>
      </c>
      <c r="BE44" s="194">
        <f>IF($G44="Committee",1,0)</f>
        <v>0</v>
      </c>
      <c r="BF44" s="194">
        <f>IF($G44="Treatment",1,0)</f>
        <v>0</v>
      </c>
      <c r="BG44" s="194">
        <f>IF($G44="Meeting Sponsored",1,0)</f>
        <v>0</v>
      </c>
      <c r="BH44" s="194">
        <f>IF($G44="Programming",1,0)</f>
        <v>0</v>
      </c>
      <c r="BI44" s="194">
        <f>IF($G44="Hardship",1,0)</f>
        <v>0</v>
      </c>
      <c r="BJ44" s="194">
        <f>IF($G44="Refund",1,0)</f>
        <v>0</v>
      </c>
      <c r="BK44" s="194">
        <f>IF($G44="Vermilion Bucks",1,0)</f>
        <v>0</v>
      </c>
      <c r="BL44" s="194">
        <f>IF($G44="Other",1,0)</f>
        <v>0</v>
      </c>
      <c r="BM44" s="286"/>
      <c r="BN44" s="286"/>
      <c r="BO44" s="286">
        <f>SUM(AX44:BL44)</f>
        <v>1</v>
      </c>
      <c r="BP44" s="287">
        <f>SUM(R44:AW44)</f>
        <v>1</v>
      </c>
      <c r="BQ44" s="287">
        <f>+BO44+BP44</f>
        <v>2</v>
      </c>
    </row>
    <row r="45" spans="1:69" s="7" customFormat="1" x14ac:dyDescent="0.2">
      <c r="A45" s="189" t="s">
        <v>268</v>
      </c>
      <c r="B45" s="187" t="s">
        <v>269</v>
      </c>
      <c r="C45" s="5">
        <v>265</v>
      </c>
      <c r="D45" s="6">
        <v>44038</v>
      </c>
      <c r="E45" s="284">
        <f>IF($D45 = 0,0,DATEDIF($D45,$D$7,"D"))</f>
        <v>412</v>
      </c>
      <c r="F45" s="193">
        <f>((R45*$R$2)+(S45*$S$2)+(T45*$T$2)++(U45*$U$2)++(V45*$V$2)++(W45*$W$2)++(X45*$X$2)++(Y45*$Y$2)+(Z45*$Z$2)+(AA45*$AA$2)+(AB45*$AB$2)+(AC45*$AC$2)+(AD45*$AD$2)+(AE45*$AE$2)+(AF45*$AF$2)+(AG45*$AG$2)+(AH45*$AH$2)+(AI45*$AI$2)+(AJ45*$AJ$2)+(AK45*$AK$2)+(AL45*$AL$2)+(AM45*$AM$2)+(AN45*$AN$2)+(AO45*$AO$2)+(AP45*$AP$2)+(AQ45*$AQ$2)+(AR45*$AR$2)+(AS45*$AS$2)+(AT45*$AT$2)+(AU45*$AU$2)+(AV45*$AV$2)+(AW45*$AW$2))</f>
        <v>140</v>
      </c>
      <c r="G45" s="8" t="s">
        <v>38</v>
      </c>
      <c r="H45" s="9"/>
      <c r="I45" s="9"/>
      <c r="J45" s="9"/>
      <c r="K45" s="93">
        <f>+F45-I45+J45-H45</f>
        <v>140</v>
      </c>
      <c r="L45" s="254">
        <v>140</v>
      </c>
      <c r="M45" s="251">
        <f>+K45-L45</f>
        <v>0</v>
      </c>
      <c r="N45" s="251" t="s">
        <v>545</v>
      </c>
      <c r="O45" s="251">
        <v>125</v>
      </c>
      <c r="P45" s="251">
        <f>+L45-O45</f>
        <v>15</v>
      </c>
      <c r="Q45" s="285" t="s">
        <v>268</v>
      </c>
      <c r="R45" s="5"/>
      <c r="S45" s="8"/>
      <c r="T45" s="8"/>
      <c r="U45" s="8"/>
      <c r="V45" s="8"/>
      <c r="W45" s="8"/>
      <c r="X45" s="8"/>
      <c r="Y45" s="8"/>
      <c r="Z45" s="8">
        <v>1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194">
        <f>IF($G45="Youth 0-3",1,0)</f>
        <v>0</v>
      </c>
      <c r="AY45" s="194">
        <f>IF($G45="Youth 4-11",1,0)</f>
        <v>0</v>
      </c>
      <c r="AZ45" s="194">
        <f>IF($G45="Youth 12-15",1,0)</f>
        <v>0</v>
      </c>
      <c r="BA45" s="194">
        <f>IF($G45="Addict",1,0)</f>
        <v>1</v>
      </c>
      <c r="BB45" s="194">
        <f>IF($G45="Non-Addict",1,0)</f>
        <v>0</v>
      </c>
      <c r="BC45" s="194">
        <f>IF($G45="Free Reg Certificate",1,0)</f>
        <v>0</v>
      </c>
      <c r="BD45" s="194">
        <f>IF($G45="Newcomer",1,0)</f>
        <v>0</v>
      </c>
      <c r="BE45" s="194">
        <f>IF($G45="Committee",1,0)</f>
        <v>0</v>
      </c>
      <c r="BF45" s="194">
        <f>IF($G45="Treatment",1,0)</f>
        <v>0</v>
      </c>
      <c r="BG45" s="194">
        <f>IF($G45="Meeting Sponsored",1,0)</f>
        <v>0</v>
      </c>
      <c r="BH45" s="194">
        <f>IF($G45="Programming",1,0)</f>
        <v>0</v>
      </c>
      <c r="BI45" s="194">
        <f>IF($G45="Hardship",1,0)</f>
        <v>0</v>
      </c>
      <c r="BJ45" s="194">
        <f>IF($G45="Refund",1,0)</f>
        <v>0</v>
      </c>
      <c r="BK45" s="194">
        <f>IF($G45="Vermilion Bucks",1,0)</f>
        <v>0</v>
      </c>
      <c r="BL45" s="194">
        <f>IF($G45="Other",1,0)</f>
        <v>0</v>
      </c>
      <c r="BM45" s="286"/>
      <c r="BN45" s="286"/>
      <c r="BO45" s="286">
        <f>SUM(AX45:BL45)</f>
        <v>1</v>
      </c>
      <c r="BP45" s="287">
        <f>SUM(R45:AW45)</f>
        <v>1</v>
      </c>
      <c r="BQ45" s="287">
        <f>+BO45+BP45</f>
        <v>2</v>
      </c>
    </row>
    <row r="46" spans="1:69" s="7" customFormat="1" ht="10.199999999999999" customHeight="1" x14ac:dyDescent="0.2">
      <c r="A46" s="189" t="s">
        <v>519</v>
      </c>
      <c r="B46" s="187" t="s">
        <v>302</v>
      </c>
      <c r="C46" s="5"/>
      <c r="D46" s="6"/>
      <c r="E46" s="284">
        <f>IF($D46 = 0,0,DATEDIF($D46,$D$7,"D"))</f>
        <v>0</v>
      </c>
      <c r="F46" s="193">
        <f>((R46*$R$2)+(S46*$S$2)+(T46*$T$2)++(U46*$U$2)++(V46*$V$2)++(W46*$W$2)++(X46*$X$2)++(Y46*$Y$2)+(Z46*$Z$2)+(AA46*$AA$2)+(AB46*$AB$2)+(AC46*$AC$2)+(AD46*$AD$2)+(AE46*$AE$2)+(AF46*$AF$2)+(AG46*$AG$2)+(AH46*$AH$2)+(AI46*$AI$2)+(AJ46*$AJ$2)+(AK46*$AK$2)+(AL46*$AL$2)+(AM46*$AM$2)+(AN46*$AN$2)+(AO46*$AO$2)+(AP46*$AP$2)+(AQ46*$AQ$2)+(AR46*$AR$2)+(AS46*$AS$2)+(AT46*$AT$2)+(AU46*$AU$2)+(AV46*$AV$2)+(AW46*$AW$2))</f>
        <v>0</v>
      </c>
      <c r="G46" s="8" t="s">
        <v>171</v>
      </c>
      <c r="H46" s="9"/>
      <c r="I46" s="9"/>
      <c r="J46" s="9"/>
      <c r="K46" s="93">
        <f>+F46-I46+J46-H46</f>
        <v>0</v>
      </c>
      <c r="L46" s="64"/>
      <c r="M46" s="253"/>
      <c r="N46" s="253" t="s">
        <v>549</v>
      </c>
      <c r="O46" s="253">
        <v>0</v>
      </c>
      <c r="P46" s="253">
        <f>+L46-O46</f>
        <v>0</v>
      </c>
      <c r="Q46" s="271" t="s">
        <v>519</v>
      </c>
      <c r="R46" s="5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194">
        <f>IF($G46="Youth 0-3",1,0)</f>
        <v>0</v>
      </c>
      <c r="AY46" s="194">
        <f>IF($G46="Youth 4-11",1,0)</f>
        <v>0</v>
      </c>
      <c r="AZ46" s="194">
        <f>IF($G46="Youth 12-15",1,0)</f>
        <v>0</v>
      </c>
      <c r="BA46" s="194">
        <f>IF($G46="Addict",1,0)</f>
        <v>0</v>
      </c>
      <c r="BB46" s="194">
        <f>IF($G46="Non-Addict",1,0)</f>
        <v>0</v>
      </c>
      <c r="BC46" s="194">
        <f>IF($G46="Free Reg Certificate",1,0)</f>
        <v>0</v>
      </c>
      <c r="BD46" s="194">
        <f>IF($G46="Newcomer",1,0)</f>
        <v>0</v>
      </c>
      <c r="BE46" s="194">
        <f>IF($G46="Committee",1,0)</f>
        <v>0</v>
      </c>
      <c r="BF46" s="194">
        <f>IF($G46="Treatment",1,0)</f>
        <v>0</v>
      </c>
      <c r="BG46" s="194">
        <f>IF($G46="Meeting Sponsored",1,0)</f>
        <v>0</v>
      </c>
      <c r="BH46" s="194">
        <f>IF($G46="Programming",1,0)</f>
        <v>0</v>
      </c>
      <c r="BI46" s="194">
        <f>IF($G46="Hardship",1,0)</f>
        <v>0</v>
      </c>
      <c r="BJ46" s="194">
        <f>IF($G46="Refund",1,0)</f>
        <v>1</v>
      </c>
      <c r="BK46" s="194">
        <f>IF($G46="Vermilion Bucks",1,0)</f>
        <v>0</v>
      </c>
      <c r="BL46" s="194">
        <f>IF($G46="Other",1,0)</f>
        <v>0</v>
      </c>
      <c r="BM46" s="286"/>
      <c r="BN46" s="286"/>
      <c r="BO46" s="286">
        <f>SUM(AX46:BL46)</f>
        <v>1</v>
      </c>
      <c r="BP46" s="287">
        <f>SUM(R46:AW46)</f>
        <v>0</v>
      </c>
      <c r="BQ46" s="287">
        <f>+BO46+BP46</f>
        <v>1</v>
      </c>
    </row>
    <row r="47" spans="1:69" s="7" customFormat="1" ht="10.199999999999999" customHeight="1" x14ac:dyDescent="0.2">
      <c r="A47" s="276" t="s">
        <v>340</v>
      </c>
      <c r="B47" s="187" t="s">
        <v>341</v>
      </c>
      <c r="C47" s="5">
        <v>443</v>
      </c>
      <c r="D47" s="6">
        <v>43718</v>
      </c>
      <c r="E47" s="284">
        <f>IF($D47 = 0,0,DATEDIF($D47,$D$7,"D"))</f>
        <v>732</v>
      </c>
      <c r="F47" s="193">
        <f>((R47*$R$2)+(S47*$S$2)+(T47*$T$2)++(U47*$U$2)++(V47*$V$2)++(W47*$W$2)++(X47*$X$2)++(Y47*$Y$2)+(Z47*$Z$2)+(AA47*$AA$2)+(AB47*$AB$2)+(AC47*$AC$2)+(AD47*$AD$2)+(AE47*$AE$2)+(AF47*$AF$2)+(AG47*$AG$2)+(AH47*$AH$2)+(AI47*$AI$2)+(AJ47*$AJ$2)+(AK47*$AK$2)+(AL47*$AL$2)+(AM47*$AM$2)+(AN47*$AN$2)+(AO47*$AO$2)+(AP47*$AP$2)+(AQ47*$AQ$2)+(AR47*$AR$2)+(AS47*$AS$2)+(AT47*$AT$2)+(AU47*$AU$2)+(AV47*$AV$2)+(AW47*$AW$2))</f>
        <v>140</v>
      </c>
      <c r="G47" s="8" t="s">
        <v>38</v>
      </c>
      <c r="H47" s="9"/>
      <c r="I47" s="9"/>
      <c r="J47" s="9">
        <v>1</v>
      </c>
      <c r="K47" s="93">
        <f>+F47-I47+J47-H47</f>
        <v>141</v>
      </c>
      <c r="L47" s="243">
        <v>141</v>
      </c>
      <c r="M47" s="251">
        <f>+K47-L47</f>
        <v>0</v>
      </c>
      <c r="N47" s="251" t="s">
        <v>548</v>
      </c>
      <c r="O47" s="251">
        <v>140</v>
      </c>
      <c r="P47" s="251">
        <f>+L47-O47</f>
        <v>1</v>
      </c>
      <c r="Q47" s="285" t="s">
        <v>340</v>
      </c>
      <c r="R47" s="5"/>
      <c r="S47" s="8"/>
      <c r="T47" s="8"/>
      <c r="U47" s="8"/>
      <c r="V47" s="8"/>
      <c r="W47" s="8"/>
      <c r="X47" s="8"/>
      <c r="Y47" s="8"/>
      <c r="Z47" s="8">
        <v>1</v>
      </c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194">
        <f>IF($G47="Youth 0-3",1,0)</f>
        <v>0</v>
      </c>
      <c r="AY47" s="194">
        <f>IF($G47="Youth 4-11",1,0)</f>
        <v>0</v>
      </c>
      <c r="AZ47" s="194">
        <f>IF($G47="Youth 12-15",1,0)</f>
        <v>0</v>
      </c>
      <c r="BA47" s="194">
        <f>IF($G47="Addict",1,0)</f>
        <v>1</v>
      </c>
      <c r="BB47" s="194">
        <f>IF($G47="Non-Addict",1,0)</f>
        <v>0</v>
      </c>
      <c r="BC47" s="194">
        <f>IF($G47="Free Reg Certificate",1,0)</f>
        <v>0</v>
      </c>
      <c r="BD47" s="194">
        <f>IF($G47="Newcomer",1,0)</f>
        <v>0</v>
      </c>
      <c r="BE47" s="194">
        <f>IF($G47="Committee",1,0)</f>
        <v>0</v>
      </c>
      <c r="BF47" s="194">
        <f>IF($G47="Treatment",1,0)</f>
        <v>0</v>
      </c>
      <c r="BG47" s="194">
        <f>IF($G47="Meeting Sponsored",1,0)</f>
        <v>0</v>
      </c>
      <c r="BH47" s="194">
        <f>IF($G47="Programming",1,0)</f>
        <v>0</v>
      </c>
      <c r="BI47" s="194">
        <f>IF($G47="Hardship",1,0)</f>
        <v>0</v>
      </c>
      <c r="BJ47" s="194">
        <f>IF($G47="Refund",1,0)</f>
        <v>0</v>
      </c>
      <c r="BK47" s="194">
        <f>IF($G47="Vermilion Bucks",1,0)</f>
        <v>0</v>
      </c>
      <c r="BL47" s="194">
        <f>IF($G47="Other",1,0)</f>
        <v>0</v>
      </c>
      <c r="BM47" s="286"/>
      <c r="BN47" s="286"/>
      <c r="BO47" s="286">
        <f>SUM(AX47:BL47)</f>
        <v>1</v>
      </c>
      <c r="BP47" s="287">
        <f>SUM(R47:AW47)</f>
        <v>1</v>
      </c>
      <c r="BQ47" s="287">
        <f>+BO47+BP47</f>
        <v>2</v>
      </c>
    </row>
    <row r="48" spans="1:69" s="7" customFormat="1" ht="10.199999999999999" customHeight="1" x14ac:dyDescent="0.2">
      <c r="A48" s="276" t="s">
        <v>396</v>
      </c>
      <c r="B48" s="187" t="s">
        <v>341</v>
      </c>
      <c r="C48" s="5">
        <v>443</v>
      </c>
      <c r="D48" s="6">
        <v>43003</v>
      </c>
      <c r="E48" s="284">
        <f>IF($D48 = 0,0,DATEDIF($D48,$D$7,"D"))</f>
        <v>1447</v>
      </c>
      <c r="F48" s="193">
        <f>((R48*$R$2)+(S48*$S$2)+(T48*$T$2)++(U48*$U$2)++(V48*$V$2)++(W48*$W$2)++(X48*$X$2)++(Y48*$Y$2)+(Z48*$Z$2)+(AA48*$AA$2)+(AB48*$AB$2)+(AC48*$AC$2)+(AD48*$AD$2)+(AE48*$AE$2)+(AF48*$AF$2)+(AG48*$AG$2)+(AH48*$AH$2)+(AI48*$AI$2)+(AJ48*$AJ$2)+(AK48*$AK$2)+(AL48*$AL$2)+(AM48*$AM$2)+(AN48*$AN$2)+(AO48*$AO$2)+(AP48*$AP$2)+(AQ48*$AQ$2)+(AR48*$AR$2)+(AS48*$AS$2)+(AT48*$AT$2)+(AU48*$AU$2)+(AV48*$AV$2)+(AW48*$AW$2))</f>
        <v>140</v>
      </c>
      <c r="G48" s="8" t="s">
        <v>38</v>
      </c>
      <c r="H48" s="9"/>
      <c r="I48" s="9"/>
      <c r="J48" s="9"/>
      <c r="K48" s="93">
        <f>+F48-I48+J48-H48</f>
        <v>140</v>
      </c>
      <c r="L48" s="64">
        <v>140</v>
      </c>
      <c r="M48" s="253">
        <f>+K48-L48</f>
        <v>0</v>
      </c>
      <c r="N48" s="253" t="s">
        <v>545</v>
      </c>
      <c r="O48" s="253">
        <v>140</v>
      </c>
      <c r="P48" s="253">
        <f>+L48-O48</f>
        <v>0</v>
      </c>
      <c r="Q48" s="271" t="s">
        <v>340</v>
      </c>
      <c r="R48" s="5"/>
      <c r="S48" s="8"/>
      <c r="T48" s="8"/>
      <c r="U48" s="8"/>
      <c r="V48" s="8"/>
      <c r="W48" s="8"/>
      <c r="X48" s="8"/>
      <c r="Y48" s="8"/>
      <c r="Z48" s="8">
        <v>1</v>
      </c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194">
        <f>IF($G48="Youth 0-3",1,0)</f>
        <v>0</v>
      </c>
      <c r="AY48" s="194">
        <f>IF($G48="Youth 4-11",1,0)</f>
        <v>0</v>
      </c>
      <c r="AZ48" s="194">
        <f>IF($G48="Youth 12-15",1,0)</f>
        <v>0</v>
      </c>
      <c r="BA48" s="194">
        <f>IF($G48="Addict",1,0)</f>
        <v>1</v>
      </c>
      <c r="BB48" s="194">
        <f>IF($G48="Non-Addict",1,0)</f>
        <v>0</v>
      </c>
      <c r="BC48" s="194">
        <f>IF($G48="Free Reg Certificate",1,0)</f>
        <v>0</v>
      </c>
      <c r="BD48" s="194">
        <f>IF($G48="Newcomer",1,0)</f>
        <v>0</v>
      </c>
      <c r="BE48" s="194">
        <f>IF($G48="Committee",1,0)</f>
        <v>0</v>
      </c>
      <c r="BF48" s="194">
        <f>IF($G48="Treatment",1,0)</f>
        <v>0</v>
      </c>
      <c r="BG48" s="194">
        <f>IF($G48="Meeting Sponsored",1,0)</f>
        <v>0</v>
      </c>
      <c r="BH48" s="194">
        <f>IF($G48="Programming",1,0)</f>
        <v>0</v>
      </c>
      <c r="BI48" s="194">
        <f>IF($G48="Hardship",1,0)</f>
        <v>0</v>
      </c>
      <c r="BJ48" s="194">
        <f>IF($G48="Refund",1,0)</f>
        <v>0</v>
      </c>
      <c r="BK48" s="194">
        <f>IF($G48="Vermilion Bucks",1,0)</f>
        <v>0</v>
      </c>
      <c r="BL48" s="194">
        <f>IF($G48="Other",1,0)</f>
        <v>0</v>
      </c>
      <c r="BM48" s="286"/>
      <c r="BN48" s="286"/>
      <c r="BO48" s="286">
        <f>SUM(AX48:BL48)</f>
        <v>1</v>
      </c>
      <c r="BP48" s="287">
        <f>SUM(R48:AW48)</f>
        <v>1</v>
      </c>
      <c r="BQ48" s="287">
        <f>+BO48+BP48</f>
        <v>2</v>
      </c>
    </row>
    <row r="49" spans="1:69" s="7" customFormat="1" x14ac:dyDescent="0.2">
      <c r="A49" s="189" t="s">
        <v>299</v>
      </c>
      <c r="B49" s="187" t="s">
        <v>309</v>
      </c>
      <c r="C49" s="5">
        <v>250</v>
      </c>
      <c r="D49" s="6"/>
      <c r="E49" s="284">
        <f>IF($D49 = 0,0,DATEDIF($D49,$D$7,"D"))</f>
        <v>0</v>
      </c>
      <c r="F49" s="193">
        <f>((R49*$R$2)+(S49*$S$2)+(T49*$T$2)++(U49*$U$2)++(V49*$V$2)++(W49*$W$2)++(X49*$X$2)++(Y49*$Y$2)+(Z49*$Z$2)+(AA49*$AA$2)+(AB49*$AB$2)+(AC49*$AC$2)+(AD49*$AD$2)+(AE49*$AE$2)+(AF49*$AF$2)+(AG49*$AG$2)+(AH49*$AH$2)+(AI49*$AI$2)+(AJ49*$AJ$2)+(AK49*$AK$2)+(AL49*$AL$2)+(AM49*$AM$2)+(AN49*$AN$2)+(AO49*$AO$2)+(AP49*$AP$2)+(AQ49*$AQ$2)+(AR49*$AR$2)+(AS49*$AS$2)+(AT49*$AT$2)+(AU49*$AU$2)+(AV49*$AV$2)+(AW49*$AW$2))</f>
        <v>125</v>
      </c>
      <c r="G49" s="8" t="s">
        <v>95</v>
      </c>
      <c r="H49" s="9"/>
      <c r="I49" s="9">
        <v>75</v>
      </c>
      <c r="J49" s="9"/>
      <c r="K49" s="93">
        <f>+F49-I49+J49-H49</f>
        <v>50</v>
      </c>
      <c r="L49" s="64">
        <v>50</v>
      </c>
      <c r="M49" s="253">
        <f>+K49-L49</f>
        <v>0</v>
      </c>
      <c r="N49" s="253" t="s">
        <v>545</v>
      </c>
      <c r="O49" s="253">
        <v>50</v>
      </c>
      <c r="P49" s="253">
        <f>+L49-O49</f>
        <v>0</v>
      </c>
      <c r="Q49" s="271" t="s">
        <v>299</v>
      </c>
      <c r="R49" s="5"/>
      <c r="S49" s="8"/>
      <c r="T49" s="8"/>
      <c r="U49" s="8"/>
      <c r="V49" s="8"/>
      <c r="W49" s="8"/>
      <c r="X49" s="8"/>
      <c r="Y49" s="8"/>
      <c r="Z49" s="8"/>
      <c r="AA49" s="8"/>
      <c r="AB49" s="8"/>
      <c r="AC49" s="8">
        <v>1</v>
      </c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194">
        <f>IF($G49="Youth 0-3",1,0)</f>
        <v>0</v>
      </c>
      <c r="AY49" s="194">
        <f>IF($G49="Youth 4-11",1,0)</f>
        <v>1</v>
      </c>
      <c r="AZ49" s="194">
        <f>IF($G49="Youth 12-15",1,0)</f>
        <v>0</v>
      </c>
      <c r="BA49" s="194">
        <f>IF($G49="Addict",1,0)</f>
        <v>0</v>
      </c>
      <c r="BB49" s="194">
        <f>IF($G49="Non-Addict",1,0)</f>
        <v>0</v>
      </c>
      <c r="BC49" s="194">
        <f>IF($G49="Free Reg Certificate",1,0)</f>
        <v>0</v>
      </c>
      <c r="BD49" s="194">
        <f>IF($G49="Newcomer",1,0)</f>
        <v>0</v>
      </c>
      <c r="BE49" s="194">
        <f>IF($G49="Committee",1,0)</f>
        <v>0</v>
      </c>
      <c r="BF49" s="194">
        <f>IF($G49="Treatment",1,0)</f>
        <v>0</v>
      </c>
      <c r="BG49" s="194">
        <f>IF($G49="Meeting Sponsored",1,0)</f>
        <v>0</v>
      </c>
      <c r="BH49" s="194">
        <f>IF($G49="Programming",1,0)</f>
        <v>0</v>
      </c>
      <c r="BI49" s="194">
        <f>IF($G49="Hardship",1,0)</f>
        <v>0</v>
      </c>
      <c r="BJ49" s="194">
        <f>IF($G49="Refund",1,0)</f>
        <v>0</v>
      </c>
      <c r="BK49" s="194">
        <f>IF($G49="Vermilion Bucks",1,0)</f>
        <v>0</v>
      </c>
      <c r="BL49" s="194">
        <f>IF($G49="Other",1,0)</f>
        <v>0</v>
      </c>
      <c r="BM49" s="286"/>
      <c r="BN49" s="286"/>
      <c r="BO49" s="286">
        <f>SUM(AX49:BL49)</f>
        <v>1</v>
      </c>
      <c r="BP49" s="287">
        <f>SUM(R49:AW49)</f>
        <v>1</v>
      </c>
      <c r="BQ49" s="287">
        <f>+BO49+BP49</f>
        <v>2</v>
      </c>
    </row>
    <row r="50" spans="1:69" s="7" customFormat="1" ht="10.199999999999999" customHeight="1" x14ac:dyDescent="0.2">
      <c r="A50" s="189" t="s">
        <v>299</v>
      </c>
      <c r="B50" s="187" t="s">
        <v>309</v>
      </c>
      <c r="C50" s="5">
        <v>250</v>
      </c>
      <c r="D50" s="6"/>
      <c r="E50" s="284">
        <f>IF($D50 = 0,0,DATEDIF($D50,$D$7,"D"))</f>
        <v>0</v>
      </c>
      <c r="F50" s="193">
        <f>((R50*$R$2)+(S50*$S$2)+(T50*$T$2)++(U50*$U$2)++(V50*$V$2)++(W50*$W$2)++(X50*$X$2)++(Y50*$Y$2)+(Z50*$Z$2)+(AA50*$AA$2)+(AB50*$AB$2)+(AC50*$AC$2)+(AD50*$AD$2)+(AE50*$AE$2)+(AF50*$AF$2)+(AG50*$AG$2)+(AH50*$AH$2)+(AI50*$AI$2)+(AJ50*$AJ$2)+(AK50*$AK$2)+(AL50*$AL$2)+(AM50*$AM$2)+(AN50*$AN$2)+(AO50*$AO$2)+(AP50*$AP$2)+(AQ50*$AQ$2)+(AR50*$AR$2)+(AS50*$AS$2)+(AT50*$AT$2)+(AU50*$AU$2)+(AV50*$AV$2)+(AW50*$AW$2))</f>
        <v>50</v>
      </c>
      <c r="G50" s="8" t="s">
        <v>38</v>
      </c>
      <c r="H50" s="9"/>
      <c r="I50" s="9"/>
      <c r="J50" s="9"/>
      <c r="K50" s="93">
        <f>+F50-I50+J50-H50</f>
        <v>50</v>
      </c>
      <c r="L50" s="64">
        <v>50</v>
      </c>
      <c r="M50" s="253">
        <f>+K50-L50</f>
        <v>0</v>
      </c>
      <c r="N50" s="253" t="s">
        <v>545</v>
      </c>
      <c r="O50" s="253">
        <v>50</v>
      </c>
      <c r="P50" s="253">
        <f>+L50-O50</f>
        <v>0</v>
      </c>
      <c r="Q50" s="271" t="s">
        <v>299</v>
      </c>
      <c r="R50" s="5">
        <v>1</v>
      </c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194">
        <f>IF($G50="Youth 0-3",1,0)</f>
        <v>0</v>
      </c>
      <c r="AY50" s="194">
        <f>IF($G50="Youth 4-11",1,0)</f>
        <v>0</v>
      </c>
      <c r="AZ50" s="194">
        <f>IF($G50="Youth 12-15",1,0)</f>
        <v>0</v>
      </c>
      <c r="BA50" s="194">
        <f>IF($G50="Addict",1,0)</f>
        <v>1</v>
      </c>
      <c r="BB50" s="194">
        <f>IF($G50="Non-Addict",1,0)</f>
        <v>0</v>
      </c>
      <c r="BC50" s="194">
        <f>IF($G50="Free Reg Certificate",1,0)</f>
        <v>0</v>
      </c>
      <c r="BD50" s="194">
        <f>IF($G50="Newcomer",1,0)</f>
        <v>0</v>
      </c>
      <c r="BE50" s="194">
        <f>IF($G50="Committee",1,0)</f>
        <v>0</v>
      </c>
      <c r="BF50" s="194">
        <f>IF($G50="Treatment",1,0)</f>
        <v>0</v>
      </c>
      <c r="BG50" s="194">
        <f>IF($G50="Meeting Sponsored",1,0)</f>
        <v>0</v>
      </c>
      <c r="BH50" s="194">
        <f>IF($G50="Programming",1,0)</f>
        <v>0</v>
      </c>
      <c r="BI50" s="194">
        <f>IF($G50="Hardship",1,0)</f>
        <v>0</v>
      </c>
      <c r="BJ50" s="194">
        <f>IF($G50="Refund",1,0)</f>
        <v>0</v>
      </c>
      <c r="BK50" s="194">
        <f>IF($G50="Vermilion Bucks",1,0)</f>
        <v>0</v>
      </c>
      <c r="BL50" s="194">
        <f>IF($G50="Other",1,0)</f>
        <v>0</v>
      </c>
      <c r="BM50" s="286"/>
      <c r="BN50" s="286"/>
      <c r="BO50" s="286">
        <f>SUM(AX50:BL50)</f>
        <v>1</v>
      </c>
      <c r="BP50" s="287">
        <f>SUM(R50:AW50)</f>
        <v>1</v>
      </c>
      <c r="BQ50" s="287">
        <f>+BO50+BP50</f>
        <v>2</v>
      </c>
    </row>
    <row r="51" spans="1:69" s="7" customFormat="1" ht="10.199999999999999" customHeight="1" x14ac:dyDescent="0.2">
      <c r="A51" s="189" t="s">
        <v>299</v>
      </c>
      <c r="B51" s="187" t="s">
        <v>309</v>
      </c>
      <c r="C51" s="5">
        <v>250</v>
      </c>
      <c r="D51" s="6"/>
      <c r="E51" s="284">
        <f>IF($D51 = 0,0,DATEDIF($D51,$D$7,"D"))</f>
        <v>0</v>
      </c>
      <c r="F51" s="193">
        <f>((R51*$R$2)+(S51*$S$2)+(T51*$T$2)++(U51*$U$2)++(V51*$V$2)++(W51*$W$2)++(X51*$X$2)++(Y51*$Y$2)+(Z51*$Z$2)+(AA51*$AA$2)+(AB51*$AB$2)+(AC51*$AC$2)+(AD51*$AD$2)+(AE51*$AE$2)+(AF51*$AF$2)+(AG51*$AG$2)+(AH51*$AH$2)+(AI51*$AI$2)+(AJ51*$AJ$2)+(AK51*$AK$2)+(AL51*$AL$2)+(AM51*$AM$2)+(AN51*$AN$2)+(AO51*$AO$2)+(AP51*$AP$2)+(AQ51*$AQ$2)+(AR51*$AR$2)+(AS51*$AS$2)+(AT51*$AT$2)+(AU51*$AU$2)+(AV51*$AV$2)+(AW51*$AW$2))</f>
        <v>125</v>
      </c>
      <c r="G51" s="8" t="s">
        <v>38</v>
      </c>
      <c r="H51" s="9"/>
      <c r="I51" s="9"/>
      <c r="J51" s="9"/>
      <c r="K51" s="93">
        <f>+F51-I51+J51-H51</f>
        <v>125</v>
      </c>
      <c r="L51" s="64">
        <v>125</v>
      </c>
      <c r="M51" s="253">
        <f>+K51-L51</f>
        <v>0</v>
      </c>
      <c r="N51" s="253" t="s">
        <v>545</v>
      </c>
      <c r="O51" s="253">
        <v>125</v>
      </c>
      <c r="P51" s="253">
        <f>+L51-O51</f>
        <v>0</v>
      </c>
      <c r="Q51" s="271" t="s">
        <v>299</v>
      </c>
      <c r="R51" s="5"/>
      <c r="S51" s="8"/>
      <c r="T51" s="8"/>
      <c r="U51" s="8"/>
      <c r="V51" s="8"/>
      <c r="W51" s="8"/>
      <c r="X51" s="8"/>
      <c r="Y51" s="8"/>
      <c r="Z51" s="8"/>
      <c r="AA51" s="8"/>
      <c r="AB51" s="8"/>
      <c r="AC51" s="8">
        <v>1</v>
      </c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194">
        <f>IF($G51="Youth 0-3",1,0)</f>
        <v>0</v>
      </c>
      <c r="AY51" s="194">
        <f>IF($G51="Youth 4-11",1,0)</f>
        <v>0</v>
      </c>
      <c r="AZ51" s="194">
        <f>IF($G51="Youth 12-15",1,0)</f>
        <v>0</v>
      </c>
      <c r="BA51" s="194">
        <f>IF($G51="Addict",1,0)</f>
        <v>1</v>
      </c>
      <c r="BB51" s="194">
        <f>IF($G51="Non-Addict",1,0)</f>
        <v>0</v>
      </c>
      <c r="BC51" s="194">
        <f>IF($G51="Free Reg Certificate",1,0)</f>
        <v>0</v>
      </c>
      <c r="BD51" s="194">
        <f>IF($G51="Newcomer",1,0)</f>
        <v>0</v>
      </c>
      <c r="BE51" s="194">
        <f>IF($G51="Committee",1,0)</f>
        <v>0</v>
      </c>
      <c r="BF51" s="194">
        <f>IF($G51="Treatment",1,0)</f>
        <v>0</v>
      </c>
      <c r="BG51" s="194">
        <f>IF($G51="Meeting Sponsored",1,0)</f>
        <v>0</v>
      </c>
      <c r="BH51" s="194">
        <f>IF($G51="Programming",1,0)</f>
        <v>0</v>
      </c>
      <c r="BI51" s="194">
        <f>IF($G51="Hardship",1,0)</f>
        <v>0</v>
      </c>
      <c r="BJ51" s="194">
        <f>IF($G51="Refund",1,0)</f>
        <v>0</v>
      </c>
      <c r="BK51" s="194">
        <f>IF($G51="Vermilion Bucks",1,0)</f>
        <v>0</v>
      </c>
      <c r="BL51" s="194">
        <f>IF($G51="Other",1,0)</f>
        <v>0</v>
      </c>
      <c r="BM51" s="286"/>
      <c r="BN51" s="286"/>
      <c r="BO51" s="286">
        <f>SUM(AX51:BL51)</f>
        <v>1</v>
      </c>
      <c r="BP51" s="287">
        <f>SUM(R51:AW51)</f>
        <v>1</v>
      </c>
      <c r="BQ51" s="287">
        <f>+BO51+BP51</f>
        <v>2</v>
      </c>
    </row>
    <row r="52" spans="1:69" s="7" customFormat="1" x14ac:dyDescent="0.2">
      <c r="A52" s="182" t="s">
        <v>273</v>
      </c>
      <c r="B52" s="187" t="s">
        <v>274</v>
      </c>
      <c r="C52" s="5"/>
      <c r="D52" s="6">
        <v>43531</v>
      </c>
      <c r="E52" s="284">
        <f>IF($D52 = 0,0,DATEDIF($D52,$D$7,"D"))</f>
        <v>919</v>
      </c>
      <c r="F52" s="193">
        <f>((R52*$R$2)+(S52*$S$2)+(T52*$T$2)++(U52*$U$2)++(V52*$V$2)++(W52*$W$2)++(X52*$X$2)++(Y52*$Y$2)+(Z52*$Z$2)+(AA52*$AA$2)+(AB52*$AB$2)+(AC52*$AC$2)+(AD52*$AD$2)+(AE52*$AE$2)+(AF52*$AF$2)+(AG52*$AG$2)+(AH52*$AH$2)+(AI52*$AI$2)+(AJ52*$AJ$2)+(AK52*$AK$2)+(AL52*$AL$2)+(AM52*$AM$2)+(AN52*$AN$2)+(AO52*$AO$2)+(AP52*$AP$2)+(AQ52*$AQ$2)+(AR52*$AR$2)+(AS52*$AS$2)+(AT52*$AT$2)+(AU52*$AU$2)+(AV52*$AV$2)+(AW52*$AW$2))</f>
        <v>140</v>
      </c>
      <c r="G52" s="8" t="s">
        <v>38</v>
      </c>
      <c r="H52" s="9"/>
      <c r="I52" s="9"/>
      <c r="J52" s="9"/>
      <c r="K52" s="93">
        <f>+F52-I52+J52-H52</f>
        <v>140</v>
      </c>
      <c r="L52" s="243">
        <v>140</v>
      </c>
      <c r="M52" s="251">
        <f>+K52-L52</f>
        <v>0</v>
      </c>
      <c r="N52" s="251" t="s">
        <v>548</v>
      </c>
      <c r="O52" s="251">
        <v>160</v>
      </c>
      <c r="P52" s="251">
        <f>+L52-O52</f>
        <v>-20</v>
      </c>
      <c r="Q52" s="285" t="s">
        <v>273</v>
      </c>
      <c r="R52" s="5"/>
      <c r="S52" s="8"/>
      <c r="T52" s="8"/>
      <c r="U52" s="8"/>
      <c r="V52" s="8"/>
      <c r="W52" s="8"/>
      <c r="X52" s="8"/>
      <c r="Y52" s="8"/>
      <c r="Z52" s="8">
        <v>1</v>
      </c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194">
        <f>IF($G52="Youth 0-3",1,0)</f>
        <v>0</v>
      </c>
      <c r="AY52" s="194">
        <f>IF($G52="Youth 4-11",1,0)</f>
        <v>0</v>
      </c>
      <c r="AZ52" s="194">
        <f>IF($G52="Youth 12-15",1,0)</f>
        <v>0</v>
      </c>
      <c r="BA52" s="194">
        <f>IF($G52="Addict",1,0)</f>
        <v>1</v>
      </c>
      <c r="BB52" s="194">
        <f>IF($G52="Non-Addict",1,0)</f>
        <v>0</v>
      </c>
      <c r="BC52" s="194">
        <f>IF($G52="Free Reg Certificate",1,0)</f>
        <v>0</v>
      </c>
      <c r="BD52" s="194">
        <f>IF($G52="Newcomer",1,0)</f>
        <v>0</v>
      </c>
      <c r="BE52" s="194">
        <f>IF($G52="Committee",1,0)</f>
        <v>0</v>
      </c>
      <c r="BF52" s="194">
        <f>IF($G52="Treatment",1,0)</f>
        <v>0</v>
      </c>
      <c r="BG52" s="194">
        <f>IF($G52="Meeting Sponsored",1,0)</f>
        <v>0</v>
      </c>
      <c r="BH52" s="194">
        <f>IF($G52="Programming",1,0)</f>
        <v>0</v>
      </c>
      <c r="BI52" s="194">
        <f>IF($G52="Hardship",1,0)</f>
        <v>0</v>
      </c>
      <c r="BJ52" s="194">
        <f>IF($G52="Refund",1,0)</f>
        <v>0</v>
      </c>
      <c r="BK52" s="194">
        <f>IF($G52="Vermilion Bucks",1,0)</f>
        <v>0</v>
      </c>
      <c r="BL52" s="194">
        <f>IF($G52="Other",1,0)</f>
        <v>0</v>
      </c>
      <c r="BM52" s="286"/>
      <c r="BN52" s="286"/>
      <c r="BO52" s="286">
        <f>SUM(AX52:BL52)</f>
        <v>1</v>
      </c>
      <c r="BP52" s="287">
        <f>SUM(R52:AW52)</f>
        <v>1</v>
      </c>
      <c r="BQ52" s="287">
        <f>+BO52+BP52</f>
        <v>2</v>
      </c>
    </row>
    <row r="53" spans="1:69" s="7" customFormat="1" ht="10.199999999999999" customHeight="1" x14ac:dyDescent="0.2">
      <c r="A53" s="182" t="s">
        <v>254</v>
      </c>
      <c r="B53" s="177" t="s">
        <v>255</v>
      </c>
      <c r="C53" s="5">
        <v>250</v>
      </c>
      <c r="D53" s="6">
        <v>35933</v>
      </c>
      <c r="E53" s="284">
        <f>IF($D53 = 0,0,DATEDIF($D53,$D$7,"D"))</f>
        <v>8517</v>
      </c>
      <c r="F53" s="193">
        <f>((R53*$R$2)+(S53*$S$2)+(T53*$T$2)++(U53*$U$2)++(V53*$V$2)++(W53*$W$2)++(X53*$X$2)++(Y53*$Y$2)+(Z53*$Z$2)+(AA53*$AA$2)+(AB53*$AB$2)+(AC53*$AC$2)+(AD53*$AD$2)+(AE53*$AE$2)+(AF53*$AF$2)+(AG53*$AG$2)+(AH53*$AH$2)+(AI53*$AI$2)+(AJ53*$AJ$2)+(AK53*$AK$2)+(AL53*$AL$2)+(AM53*$AM$2)+(AN53*$AN$2)+(AO53*$AO$2)+(AP53*$AP$2)+(AQ53*$AQ$2)+(AR53*$AR$2)+(AS53*$AS$2)+(AT53*$AT$2)+(AU53*$AU$2)+(AV53*$AV$2)+(AW53*$AW$2))</f>
        <v>100</v>
      </c>
      <c r="G53" s="8" t="s">
        <v>38</v>
      </c>
      <c r="H53" s="9"/>
      <c r="I53" s="9"/>
      <c r="J53" s="9"/>
      <c r="K53" s="93">
        <f>+F53-I53+J53-H53</f>
        <v>100</v>
      </c>
      <c r="L53" s="64">
        <v>100</v>
      </c>
      <c r="M53" s="253">
        <f>+K53-L53</f>
        <v>0</v>
      </c>
      <c r="N53" s="253" t="s">
        <v>545</v>
      </c>
      <c r="O53" s="253">
        <v>100</v>
      </c>
      <c r="P53" s="253">
        <f>+L53-O53</f>
        <v>0</v>
      </c>
      <c r="Q53" s="271" t="s">
        <v>254</v>
      </c>
      <c r="R53" s="5"/>
      <c r="S53" s="8">
        <v>1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194">
        <f>IF($G53="Youth 0-3",1,0)</f>
        <v>0</v>
      </c>
      <c r="AY53" s="194">
        <f>IF($G53="Youth 4-11",1,0)</f>
        <v>0</v>
      </c>
      <c r="AZ53" s="194">
        <f>IF($G53="Youth 12-15",1,0)</f>
        <v>0</v>
      </c>
      <c r="BA53" s="194">
        <f>IF($G53="Addict",1,0)</f>
        <v>1</v>
      </c>
      <c r="BB53" s="194">
        <f>IF($G53="Non-Addict",1,0)</f>
        <v>0</v>
      </c>
      <c r="BC53" s="194">
        <f>IF($G53="Free Reg Certificate",1,0)</f>
        <v>0</v>
      </c>
      <c r="BD53" s="194">
        <f>IF($G53="Newcomer",1,0)</f>
        <v>0</v>
      </c>
      <c r="BE53" s="194">
        <f>IF($G53="Committee",1,0)</f>
        <v>0</v>
      </c>
      <c r="BF53" s="194">
        <f>IF($G53="Treatment",1,0)</f>
        <v>0</v>
      </c>
      <c r="BG53" s="194">
        <f>IF($G53="Meeting Sponsored",1,0)</f>
        <v>0</v>
      </c>
      <c r="BH53" s="194">
        <f>IF($G53="Programming",1,0)</f>
        <v>0</v>
      </c>
      <c r="BI53" s="194">
        <f>IF($G53="Hardship",1,0)</f>
        <v>0</v>
      </c>
      <c r="BJ53" s="194">
        <f>IF($G53="Refund",1,0)</f>
        <v>0</v>
      </c>
      <c r="BK53" s="194">
        <f>IF($G53="Vermilion Bucks",1,0)</f>
        <v>0</v>
      </c>
      <c r="BL53" s="194">
        <f>IF($G53="Other",1,0)</f>
        <v>0</v>
      </c>
      <c r="BM53" s="286"/>
      <c r="BN53" s="286"/>
      <c r="BO53" s="286">
        <f>SUM(AX53:BL53)</f>
        <v>1</v>
      </c>
      <c r="BP53" s="287">
        <f>SUM(R53:AW53)</f>
        <v>1</v>
      </c>
      <c r="BQ53" s="287">
        <f>+BO53+BP53</f>
        <v>2</v>
      </c>
    </row>
    <row r="54" spans="1:69" s="7" customFormat="1" x14ac:dyDescent="0.2">
      <c r="A54" s="189" t="s">
        <v>310</v>
      </c>
      <c r="B54" s="187" t="s">
        <v>313</v>
      </c>
      <c r="C54" s="5">
        <v>232</v>
      </c>
      <c r="D54" s="6">
        <v>41753</v>
      </c>
      <c r="E54" s="284">
        <f>IF($D54 = 0,0,DATEDIF($D54,$D$7,"D"))</f>
        <v>2697</v>
      </c>
      <c r="F54" s="193">
        <f>((R54*$R$2)+(S54*$S$2)+(T54*$T$2)++(U54*$U$2)++(V54*$V$2)++(W54*$W$2)++(X54*$X$2)++(Y54*$Y$2)+(Z54*$Z$2)+(AA54*$AA$2)+(AB54*$AB$2)+(AC54*$AC$2)+(AD54*$AD$2)+(AE54*$AE$2)+(AF54*$AF$2)+(AG54*$AG$2)+(AH54*$AH$2)+(AI54*$AI$2)+(AJ54*$AJ$2)+(AK54*$AK$2)+(AL54*$AL$2)+(AM54*$AM$2)+(AN54*$AN$2)+(AO54*$AO$2)+(AP54*$AP$2)+(AQ54*$AQ$2)+(AR54*$AR$2)+(AS54*$AS$2)+(AT54*$AT$2)+(AU54*$AU$2)+(AV54*$AV$2)+(AW54*$AW$2))</f>
        <v>130</v>
      </c>
      <c r="G54" s="8" t="s">
        <v>38</v>
      </c>
      <c r="H54" s="9"/>
      <c r="I54" s="9"/>
      <c r="J54" s="9"/>
      <c r="K54" s="93">
        <f>+F54-I54+J54-H54</f>
        <v>130</v>
      </c>
      <c r="L54" s="243">
        <v>130</v>
      </c>
      <c r="M54" s="251">
        <f>+K54-L54</f>
        <v>0</v>
      </c>
      <c r="N54" s="251" t="s">
        <v>548</v>
      </c>
      <c r="O54" s="251">
        <v>260</v>
      </c>
      <c r="P54" s="251">
        <f>+L54-O54</f>
        <v>-130</v>
      </c>
      <c r="Q54" s="288" t="s">
        <v>310</v>
      </c>
      <c r="R54" s="5"/>
      <c r="S54" s="8"/>
      <c r="T54" s="8"/>
      <c r="U54" s="8"/>
      <c r="V54" s="8"/>
      <c r="W54" s="8"/>
      <c r="X54" s="8"/>
      <c r="Y54" s="8"/>
      <c r="Z54" s="8"/>
      <c r="AA54" s="8">
        <v>1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194">
        <f>IF($G54="Youth 0-3",1,0)</f>
        <v>0</v>
      </c>
      <c r="AY54" s="194">
        <f>IF($G54="Youth 4-11",1,0)</f>
        <v>0</v>
      </c>
      <c r="AZ54" s="194">
        <f>IF($G54="Youth 12-15",1,0)</f>
        <v>0</v>
      </c>
      <c r="BA54" s="194">
        <f>IF($G54="Addict",1,0)</f>
        <v>1</v>
      </c>
      <c r="BB54" s="194">
        <f>IF($G54="Non-Addict",1,0)</f>
        <v>0</v>
      </c>
      <c r="BC54" s="194">
        <f>IF($G54="Free Reg Certificate",1,0)</f>
        <v>0</v>
      </c>
      <c r="BD54" s="194">
        <f>IF($G54="Newcomer",1,0)</f>
        <v>0</v>
      </c>
      <c r="BE54" s="194">
        <f>IF($G54="Committee",1,0)</f>
        <v>0</v>
      </c>
      <c r="BF54" s="194">
        <f>IF($G54="Treatment",1,0)</f>
        <v>0</v>
      </c>
      <c r="BG54" s="194">
        <f>IF($G54="Meeting Sponsored",1,0)</f>
        <v>0</v>
      </c>
      <c r="BH54" s="194">
        <f>IF($G54="Programming",1,0)</f>
        <v>0</v>
      </c>
      <c r="BI54" s="194">
        <f>IF($G54="Hardship",1,0)</f>
        <v>0</v>
      </c>
      <c r="BJ54" s="194">
        <f>IF($G54="Refund",1,0)</f>
        <v>0</v>
      </c>
      <c r="BK54" s="194">
        <f>IF($G54="Vermilion Bucks",1,0)</f>
        <v>0</v>
      </c>
      <c r="BL54" s="194">
        <f>IF($G54="Other",1,0)</f>
        <v>0</v>
      </c>
      <c r="BM54" s="286"/>
      <c r="BN54" s="286"/>
      <c r="BO54" s="286">
        <f>SUM(AX54:BL54)</f>
        <v>1</v>
      </c>
      <c r="BP54" s="287">
        <f>SUM(R54:AW54)</f>
        <v>1</v>
      </c>
      <c r="BQ54" s="287">
        <f>+BO54+BP54</f>
        <v>2</v>
      </c>
    </row>
    <row r="55" spans="1:69" s="7" customFormat="1" ht="10.199999999999999" customHeight="1" x14ac:dyDescent="0.2">
      <c r="A55" s="182" t="s">
        <v>427</v>
      </c>
      <c r="B55" s="177"/>
      <c r="C55" s="5">
        <v>310</v>
      </c>
      <c r="D55" s="6">
        <v>44303</v>
      </c>
      <c r="E55" s="284">
        <f>IF($D55 = 0,0,DATEDIF($D55,$D$7,"D"))</f>
        <v>147</v>
      </c>
      <c r="F55" s="193">
        <f>((R55*$R$2)+(S55*$S$2)+(T55*$T$2)++(U55*$U$2)++(V55*$V$2)++(W55*$W$2)++(X55*$X$2)++(Y55*$Y$2)+(Z55*$Z$2)+(AA55*$AA$2)+(AB55*$AB$2)+(AC55*$AC$2)+(AD55*$AD$2)+(AE55*$AE$2)+(AF55*$AF$2)+(AG55*$AG$2)+(AH55*$AH$2)+(AI55*$AI$2)+(AJ55*$AJ$2)+(AK55*$AK$2)+(AL55*$AL$2)+(AM55*$AM$2)+(AN55*$AN$2)+(AO55*$AO$2)+(AP55*$AP$2)+(AQ55*$AQ$2)+(AR55*$AR$2)+(AS55*$AS$2)+(AT55*$AT$2)+(AU55*$AU$2)+(AV55*$AV$2)+(AW55*$AW$2))</f>
        <v>100</v>
      </c>
      <c r="G55" s="8" t="s">
        <v>38</v>
      </c>
      <c r="H55" s="9"/>
      <c r="I55" s="9"/>
      <c r="J55" s="9"/>
      <c r="K55" s="252">
        <f>+F55-I55+J55-H55</f>
        <v>100</v>
      </c>
      <c r="L55" s="64">
        <v>100</v>
      </c>
      <c r="M55" s="253">
        <f>+K55-L55</f>
        <v>0</v>
      </c>
      <c r="N55" s="253" t="s">
        <v>548</v>
      </c>
      <c r="O55" s="253">
        <v>100</v>
      </c>
      <c r="P55" s="253">
        <f>+L55-O55</f>
        <v>0</v>
      </c>
      <c r="Q55" s="270" t="s">
        <v>242</v>
      </c>
      <c r="R55" s="5"/>
      <c r="S55" s="8">
        <v>1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194">
        <f>IF($G55="Youth 0-3",1,0)</f>
        <v>0</v>
      </c>
      <c r="AY55" s="194">
        <f>IF($G55="Youth 4-11",1,0)</f>
        <v>0</v>
      </c>
      <c r="AZ55" s="194">
        <f>IF($G55="Youth 12-15",1,0)</f>
        <v>0</v>
      </c>
      <c r="BA55" s="194">
        <f>IF($G55="Addict",1,0)</f>
        <v>1</v>
      </c>
      <c r="BB55" s="194">
        <f>IF($G55="Non-Addict",1,0)</f>
        <v>0</v>
      </c>
      <c r="BC55" s="194">
        <f>IF($G55="Free Reg Certificate",1,0)</f>
        <v>0</v>
      </c>
      <c r="BD55" s="194">
        <f>IF($G55="Newcomer",1,0)</f>
        <v>0</v>
      </c>
      <c r="BE55" s="194">
        <f>IF($G55="Committee",1,0)</f>
        <v>0</v>
      </c>
      <c r="BF55" s="194">
        <f>IF($G55="Treatment",1,0)</f>
        <v>0</v>
      </c>
      <c r="BG55" s="194">
        <f>IF($G55="Meeting Sponsored",1,0)</f>
        <v>0</v>
      </c>
      <c r="BH55" s="194">
        <f>IF($G55="Programming",1,0)</f>
        <v>0</v>
      </c>
      <c r="BI55" s="194">
        <f>IF($G55="Hardship",1,0)</f>
        <v>0</v>
      </c>
      <c r="BJ55" s="194">
        <f>IF($G55="Refund",1,0)</f>
        <v>0</v>
      </c>
      <c r="BK55" s="194">
        <f>IF($G55="Vermilion Bucks",1,0)</f>
        <v>0</v>
      </c>
      <c r="BL55" s="194">
        <f>IF($G55="Other",1,0)</f>
        <v>0</v>
      </c>
      <c r="BM55" s="286"/>
      <c r="BN55" s="286"/>
      <c r="BO55" s="286">
        <f>SUM(AX55:BL55)</f>
        <v>1</v>
      </c>
      <c r="BP55" s="287">
        <f>SUM(R55:AW55)</f>
        <v>1</v>
      </c>
      <c r="BQ55" s="287">
        <f>+BO55+BP55</f>
        <v>2</v>
      </c>
    </row>
    <row r="56" spans="1:69" s="7" customFormat="1" ht="10.199999999999999" customHeight="1" x14ac:dyDescent="0.2">
      <c r="A56" s="182" t="s">
        <v>242</v>
      </c>
      <c r="B56" s="177" t="s">
        <v>243</v>
      </c>
      <c r="C56" s="5">
        <v>310</v>
      </c>
      <c r="D56" s="6">
        <v>42931</v>
      </c>
      <c r="E56" s="284">
        <f>IF($D56 = 0,0,DATEDIF($D56,$D$7,"D"))</f>
        <v>1519</v>
      </c>
      <c r="F56" s="193">
        <f>((R56*$R$2)+(S56*$S$2)+(T56*$T$2)++(U56*$U$2)++(V56*$V$2)++(W56*$W$2)++(X56*$X$2)++(Y56*$Y$2)+(Z56*$Z$2)+(AA56*$AA$2)+(AB56*$AB$2)+(AC56*$AC$2)+(AD56*$AD$2)+(AE56*$AE$2)+(AF56*$AF$2)+(AG56*$AG$2)+(AH56*$AH$2)+(AI56*$AI$2)+(AJ56*$AJ$2)+(AK56*$AK$2)+(AL56*$AL$2)+(AM56*$AM$2)+(AN56*$AN$2)+(AO56*$AO$2)+(AP56*$AP$2)+(AQ56*$AQ$2)+(AR56*$AR$2)+(AS56*$AS$2)+(AT56*$AT$2)+(AU56*$AU$2)+(AV56*$AV$2)+(AW56*$AW$2))</f>
        <v>110</v>
      </c>
      <c r="G56" s="8" t="s">
        <v>38</v>
      </c>
      <c r="H56" s="9"/>
      <c r="I56" s="9"/>
      <c r="J56" s="9"/>
      <c r="K56" s="252">
        <f>+F56-I56+J56-H56</f>
        <v>110</v>
      </c>
      <c r="L56" s="64">
        <v>110</v>
      </c>
      <c r="M56" s="253">
        <f>+K56-L56</f>
        <v>0</v>
      </c>
      <c r="N56" s="253" t="s">
        <v>548</v>
      </c>
      <c r="O56" s="253">
        <v>110</v>
      </c>
      <c r="P56" s="253">
        <f>+L56-O56</f>
        <v>0</v>
      </c>
      <c r="Q56" s="270" t="s">
        <v>242</v>
      </c>
      <c r="R56" s="5"/>
      <c r="S56" s="8"/>
      <c r="T56" s="8">
        <v>1</v>
      </c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194">
        <f>IF($G56="Youth 0-3",1,0)</f>
        <v>0</v>
      </c>
      <c r="AY56" s="194">
        <f>IF($G56="Youth 4-11",1,0)</f>
        <v>0</v>
      </c>
      <c r="AZ56" s="194">
        <f>IF($G56="Youth 12-15",1,0)</f>
        <v>0</v>
      </c>
      <c r="BA56" s="194">
        <f>IF($G56="Addict",1,0)</f>
        <v>1</v>
      </c>
      <c r="BB56" s="194">
        <f>IF($G56="Non-Addict",1,0)</f>
        <v>0</v>
      </c>
      <c r="BC56" s="194">
        <f>IF($G56="Free Reg Certificate",1,0)</f>
        <v>0</v>
      </c>
      <c r="BD56" s="194">
        <f>IF($G56="Newcomer",1,0)</f>
        <v>0</v>
      </c>
      <c r="BE56" s="194">
        <f>IF($G56="Committee",1,0)</f>
        <v>0</v>
      </c>
      <c r="BF56" s="194">
        <f>IF($G56="Treatment",1,0)</f>
        <v>0</v>
      </c>
      <c r="BG56" s="194">
        <f>IF($G56="Meeting Sponsored",1,0)</f>
        <v>0</v>
      </c>
      <c r="BH56" s="194">
        <f>IF($G56="Programming",1,0)</f>
        <v>0</v>
      </c>
      <c r="BI56" s="194">
        <f>IF($G56="Hardship",1,0)</f>
        <v>0</v>
      </c>
      <c r="BJ56" s="194">
        <f>IF($G56="Refund",1,0)</f>
        <v>0</v>
      </c>
      <c r="BK56" s="194">
        <f>IF($G56="Vermilion Bucks",1,0)</f>
        <v>0</v>
      </c>
      <c r="BL56" s="194">
        <f>IF($G56="Other",1,0)</f>
        <v>0</v>
      </c>
      <c r="BM56" s="286"/>
      <c r="BN56" s="286"/>
      <c r="BO56" s="286">
        <f>SUM(AX56:BL56)</f>
        <v>1</v>
      </c>
      <c r="BP56" s="287">
        <f>SUM(R56:AW56)</f>
        <v>1</v>
      </c>
      <c r="BQ56" s="287">
        <f>+BO56+BP56</f>
        <v>2</v>
      </c>
    </row>
    <row r="57" spans="1:69" s="7" customFormat="1" x14ac:dyDescent="0.2">
      <c r="A57" s="182" t="s">
        <v>428</v>
      </c>
      <c r="B57" s="177"/>
      <c r="C57" s="5">
        <v>310</v>
      </c>
      <c r="D57" s="6">
        <v>42090</v>
      </c>
      <c r="E57" s="284">
        <f>IF($D57 = 0,0,DATEDIF($D57,$D$7,"D"))</f>
        <v>2360</v>
      </c>
      <c r="F57" s="193">
        <f>((R57*$R$2)+(S57*$S$2)+(T57*$T$2)++(U57*$U$2)++(V57*$V$2)++(W57*$W$2)++(X57*$X$2)++(Y57*$Y$2)+(Z57*$Z$2)+(AA57*$AA$2)+(AB57*$AB$2)+(AC57*$AC$2)+(AD57*$AD$2)+(AE57*$AE$2)+(AF57*$AF$2)+(AG57*$AG$2)+(AH57*$AH$2)+(AI57*$AI$2)+(AJ57*$AJ$2)+(AK57*$AK$2)+(AL57*$AL$2)+(AM57*$AM$2)+(AN57*$AN$2)+(AO57*$AO$2)+(AP57*$AP$2)+(AQ57*$AQ$2)+(AR57*$AR$2)+(AS57*$AS$2)+(AT57*$AT$2)+(AU57*$AU$2)+(AV57*$AV$2)+(AW57*$AW$2))</f>
        <v>100</v>
      </c>
      <c r="G57" s="8" t="s">
        <v>38</v>
      </c>
      <c r="H57" s="9"/>
      <c r="I57" s="9"/>
      <c r="J57" s="9"/>
      <c r="K57" s="252">
        <f>+F57-I57+J57-H57</f>
        <v>100</v>
      </c>
      <c r="L57" s="64">
        <v>100</v>
      </c>
      <c r="M57" s="253">
        <f>+K57-L57</f>
        <v>0</v>
      </c>
      <c r="N57" s="253" t="s">
        <v>548</v>
      </c>
      <c r="O57" s="253">
        <v>100</v>
      </c>
      <c r="P57" s="253">
        <f>+L57-O57</f>
        <v>0</v>
      </c>
      <c r="Q57" s="270" t="s">
        <v>242</v>
      </c>
      <c r="R57" s="5"/>
      <c r="S57" s="8">
        <v>1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194">
        <f>IF($G57="Youth 0-3",1,0)</f>
        <v>0</v>
      </c>
      <c r="AY57" s="194">
        <f>IF($G57="Youth 4-11",1,0)</f>
        <v>0</v>
      </c>
      <c r="AZ57" s="194">
        <f>IF($G57="Youth 12-15",1,0)</f>
        <v>0</v>
      </c>
      <c r="BA57" s="194">
        <f>IF($G57="Addict",1,0)</f>
        <v>1</v>
      </c>
      <c r="BB57" s="194">
        <f>IF($G57="Non-Addict",1,0)</f>
        <v>0</v>
      </c>
      <c r="BC57" s="194">
        <f>IF($G57="Free Reg Certificate",1,0)</f>
        <v>0</v>
      </c>
      <c r="BD57" s="194">
        <f>IF($G57="Newcomer",1,0)</f>
        <v>0</v>
      </c>
      <c r="BE57" s="194">
        <f>IF($G57="Committee",1,0)</f>
        <v>0</v>
      </c>
      <c r="BF57" s="194">
        <f>IF($G57="Treatment",1,0)</f>
        <v>0</v>
      </c>
      <c r="BG57" s="194">
        <f>IF($G57="Meeting Sponsored",1,0)</f>
        <v>0</v>
      </c>
      <c r="BH57" s="194">
        <f>IF($G57="Programming",1,0)</f>
        <v>0</v>
      </c>
      <c r="BI57" s="194">
        <f>IF($G57="Hardship",1,0)</f>
        <v>0</v>
      </c>
      <c r="BJ57" s="194">
        <f>IF($G57="Refund",1,0)</f>
        <v>0</v>
      </c>
      <c r="BK57" s="194">
        <f>IF($G57="Vermilion Bucks",1,0)</f>
        <v>0</v>
      </c>
      <c r="BL57" s="194">
        <f>IF($G57="Other",1,0)</f>
        <v>0</v>
      </c>
      <c r="BM57" s="286"/>
      <c r="BN57" s="286"/>
      <c r="BO57" s="286">
        <f>SUM(AX57:BL57)</f>
        <v>1</v>
      </c>
      <c r="BP57" s="287">
        <f>SUM(R57:AW57)</f>
        <v>1</v>
      </c>
      <c r="BQ57" s="287">
        <f>+BO57+BP57</f>
        <v>2</v>
      </c>
    </row>
    <row r="58" spans="1:69" s="7" customFormat="1" x14ac:dyDescent="0.2">
      <c r="A58" s="182" t="s">
        <v>280</v>
      </c>
      <c r="B58" s="188" t="s">
        <v>281</v>
      </c>
      <c r="C58" s="5">
        <v>262</v>
      </c>
      <c r="D58" s="6">
        <v>42726</v>
      </c>
      <c r="E58" s="284">
        <f>IF($D58 = 0,0,DATEDIF($D58,$D$7,"D"))</f>
        <v>1724</v>
      </c>
      <c r="F58" s="193">
        <f>((R58*$R$2)+(S58*$S$2)+(T58*$T$2)++(U58*$U$2)++(V58*$V$2)++(W58*$W$2)++(X58*$X$2)++(Y58*$Y$2)+(Z58*$Z$2)+(AA58*$AA$2)+(AB58*$AB$2)+(AC58*$AC$2)+(AD58*$AD$2)+(AE58*$AE$2)+(AF58*$AF$2)+(AG58*$AG$2)+(AH58*$AH$2)+(AI58*$AI$2)+(AJ58*$AJ$2)+(AK58*$AK$2)+(AL58*$AL$2)+(AM58*$AM$2)+(AN58*$AN$2)+(AO58*$AO$2)+(AP58*$AP$2)+(AQ58*$AQ$2)+(AR58*$AR$2)+(AS58*$AS$2)+(AT58*$AT$2)+(AU58*$AU$2)+(AV58*$AV$2)+(AW58*$AW$2))</f>
        <v>125</v>
      </c>
      <c r="G58" s="8" t="s">
        <v>38</v>
      </c>
      <c r="H58" s="9"/>
      <c r="I58" s="9"/>
      <c r="J58" s="9"/>
      <c r="K58" s="93">
        <f>+F58-I58+J58-H58</f>
        <v>125</v>
      </c>
      <c r="L58" s="64">
        <v>125</v>
      </c>
      <c r="M58" s="253">
        <f>+K58-L58</f>
        <v>0</v>
      </c>
      <c r="N58" s="253" t="s">
        <v>548</v>
      </c>
      <c r="O58" s="253">
        <v>125</v>
      </c>
      <c r="P58" s="253">
        <f>+L58-O58</f>
        <v>0</v>
      </c>
      <c r="Q58" s="271" t="s">
        <v>280</v>
      </c>
      <c r="R58" s="5"/>
      <c r="S58" s="8"/>
      <c r="T58" s="8"/>
      <c r="U58" s="8"/>
      <c r="V58" s="8"/>
      <c r="W58" s="8"/>
      <c r="X58" s="8"/>
      <c r="Y58" s="8"/>
      <c r="Z58" s="8"/>
      <c r="AA58" s="8"/>
      <c r="AB58" s="8"/>
      <c r="AC58" s="8">
        <v>1</v>
      </c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194">
        <f>IF($G58="Youth 0-3",1,0)</f>
        <v>0</v>
      </c>
      <c r="AY58" s="194">
        <f>IF($G58="Youth 4-11",1,0)</f>
        <v>0</v>
      </c>
      <c r="AZ58" s="194">
        <f>IF($G58="Youth 12-15",1,0)</f>
        <v>0</v>
      </c>
      <c r="BA58" s="194">
        <f>IF($G58="Addict",1,0)</f>
        <v>1</v>
      </c>
      <c r="BB58" s="194">
        <f>IF($G58="Non-Addict",1,0)</f>
        <v>0</v>
      </c>
      <c r="BC58" s="194">
        <f>IF($G58="Free Reg Certificate",1,0)</f>
        <v>0</v>
      </c>
      <c r="BD58" s="194">
        <f>IF($G58="Newcomer",1,0)</f>
        <v>0</v>
      </c>
      <c r="BE58" s="194">
        <f>IF($G58="Committee",1,0)</f>
        <v>0</v>
      </c>
      <c r="BF58" s="194">
        <f>IF($G58="Treatment",1,0)</f>
        <v>0</v>
      </c>
      <c r="BG58" s="194">
        <f>IF($G58="Meeting Sponsored",1,0)</f>
        <v>0</v>
      </c>
      <c r="BH58" s="194">
        <f>IF($G58="Programming",1,0)</f>
        <v>0</v>
      </c>
      <c r="BI58" s="194">
        <f>IF($G58="Hardship",1,0)</f>
        <v>0</v>
      </c>
      <c r="BJ58" s="194">
        <f>IF($G58="Refund",1,0)</f>
        <v>0</v>
      </c>
      <c r="BK58" s="194">
        <f>IF($G58="Vermilion Bucks",1,0)</f>
        <v>0</v>
      </c>
      <c r="BL58" s="194">
        <f>IF($G58="Other",1,0)</f>
        <v>0</v>
      </c>
      <c r="BM58" s="286"/>
      <c r="BN58" s="286"/>
      <c r="BO58" s="286">
        <f>SUM(AX58:BL58)</f>
        <v>1</v>
      </c>
      <c r="BP58" s="287">
        <f>SUM(R58:AW58)</f>
        <v>1</v>
      </c>
      <c r="BQ58" s="287">
        <f>+BO58+BP58</f>
        <v>2</v>
      </c>
    </row>
    <row r="59" spans="1:69" s="7" customFormat="1" x14ac:dyDescent="0.2">
      <c r="A59" s="189" t="s">
        <v>311</v>
      </c>
      <c r="B59" s="187" t="s">
        <v>314</v>
      </c>
      <c r="C59" s="5">
        <v>310</v>
      </c>
      <c r="D59" s="6">
        <v>44303</v>
      </c>
      <c r="E59" s="284">
        <f>IF($D59 = 0,0,DATEDIF($D59,$D$7,"D"))</f>
        <v>147</v>
      </c>
      <c r="F59" s="193">
        <f>((R59*$R$2)+(S59*$S$2)+(T59*$T$2)++(U59*$U$2)++(V59*$V$2)++(W59*$W$2)++(X59*$X$2)++(Y59*$Y$2)+(Z59*$Z$2)+(AA59*$AA$2)+(AB59*$AB$2)+(AC59*$AC$2)+(AD59*$AD$2)+(AE59*$AE$2)+(AF59*$AF$2)+(AG59*$AG$2)+(AH59*$AH$2)+(AI59*$AI$2)+(AJ59*$AJ$2)+(AK59*$AK$2)+(AL59*$AL$2)+(AM59*$AM$2)+(AN59*$AN$2)+(AO59*$AO$2)+(AP59*$AP$2)+(AQ59*$AQ$2)+(AR59*$AR$2)+(AS59*$AS$2)+(AT59*$AT$2)+(AU59*$AU$2)+(AV59*$AV$2)+(AW59*$AW$2))</f>
        <v>140</v>
      </c>
      <c r="G59" s="8" t="s">
        <v>38</v>
      </c>
      <c r="H59" s="9"/>
      <c r="I59" s="9"/>
      <c r="J59" s="9"/>
      <c r="K59" s="93">
        <f>+F59-I59+J59-H59</f>
        <v>140</v>
      </c>
      <c r="L59" s="64">
        <v>140</v>
      </c>
      <c r="M59" s="253">
        <f>+K59-L59</f>
        <v>0</v>
      </c>
      <c r="N59" s="253" t="s">
        <v>548</v>
      </c>
      <c r="O59" s="253">
        <v>140</v>
      </c>
      <c r="P59" s="253">
        <f>+L59-O59</f>
        <v>0</v>
      </c>
      <c r="Q59" s="271" t="s">
        <v>311</v>
      </c>
      <c r="R59" s="5"/>
      <c r="S59" s="8"/>
      <c r="T59" s="8"/>
      <c r="U59" s="8"/>
      <c r="V59" s="8"/>
      <c r="W59" s="8"/>
      <c r="X59" s="8"/>
      <c r="Y59" s="8"/>
      <c r="Z59" s="8">
        <v>1</v>
      </c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194">
        <f>IF($G59="Youth 0-3",1,0)</f>
        <v>0</v>
      </c>
      <c r="AY59" s="194">
        <f>IF($G59="Youth 4-11",1,0)</f>
        <v>0</v>
      </c>
      <c r="AZ59" s="194">
        <f>IF($G59="Youth 12-15",1,0)</f>
        <v>0</v>
      </c>
      <c r="BA59" s="194">
        <f>IF($G59="Addict",1,0)</f>
        <v>1</v>
      </c>
      <c r="BB59" s="194">
        <f>IF($G59="Non-Addict",1,0)</f>
        <v>0</v>
      </c>
      <c r="BC59" s="194">
        <f>IF($G59="Free Reg Certificate",1,0)</f>
        <v>0</v>
      </c>
      <c r="BD59" s="194">
        <f>IF($G59="Newcomer",1,0)</f>
        <v>0</v>
      </c>
      <c r="BE59" s="194">
        <f>IF($G59="Committee",1,0)</f>
        <v>0</v>
      </c>
      <c r="BF59" s="194">
        <f>IF($G59="Treatment",1,0)</f>
        <v>0</v>
      </c>
      <c r="BG59" s="194">
        <f>IF($G59="Meeting Sponsored",1,0)</f>
        <v>0</v>
      </c>
      <c r="BH59" s="194">
        <f>IF($G59="Programming",1,0)</f>
        <v>0</v>
      </c>
      <c r="BI59" s="194">
        <f>IF($G59="Hardship",1,0)</f>
        <v>0</v>
      </c>
      <c r="BJ59" s="194">
        <f>IF($G59="Refund",1,0)</f>
        <v>0</v>
      </c>
      <c r="BK59" s="194">
        <f>IF($G59="Vermilion Bucks",1,0)</f>
        <v>0</v>
      </c>
      <c r="BL59" s="194">
        <f>IF($G59="Other",1,0)</f>
        <v>0</v>
      </c>
      <c r="BM59" s="286"/>
      <c r="BN59" s="286"/>
      <c r="BO59" s="286">
        <f>SUM(AX59:BL59)</f>
        <v>1</v>
      </c>
      <c r="BP59" s="287">
        <f>SUM(R59:AW59)</f>
        <v>1</v>
      </c>
      <c r="BQ59" s="287">
        <f>+BO59+BP59</f>
        <v>2</v>
      </c>
    </row>
    <row r="60" spans="1:69" s="7" customFormat="1" x14ac:dyDescent="0.2">
      <c r="A60" s="182" t="s">
        <v>423</v>
      </c>
      <c r="B60" s="283" t="s">
        <v>433</v>
      </c>
      <c r="C60" s="5">
        <v>185</v>
      </c>
      <c r="D60" s="6">
        <v>43206</v>
      </c>
      <c r="E60" s="284">
        <f>IF($D60 = 0,0,DATEDIF($D60,$D$7,"D"))</f>
        <v>1244</v>
      </c>
      <c r="F60" s="193">
        <f>((R60*$R$2)+(S60*$S$2)+(T60*$T$2)++(U60*$U$2)++(V60*$V$2)++(W60*$W$2)++(X60*$X$2)++(Y60*$Y$2)+(Z60*$Z$2)+(AA60*$AA$2)+(AB60*$AB$2)+(AC60*$AC$2)+(AD60*$AD$2)+(AE60*$AE$2)+(AF60*$AF$2)+(AG60*$AG$2)+(AH60*$AH$2)+(AI60*$AI$2)+(AJ60*$AJ$2)+(AK60*$AK$2)+(AL60*$AL$2)+(AM60*$AM$2)+(AN60*$AN$2)+(AO60*$AO$2)+(AP60*$AP$2)+(AQ60*$AQ$2)+(AR60*$AR$2)+(AS60*$AS$2)+(AT60*$AT$2)+(AU60*$AU$2)+(AV60*$AV$2)+(AW60*$AW$2))</f>
        <v>160</v>
      </c>
      <c r="G60" s="8" t="s">
        <v>38</v>
      </c>
      <c r="H60" s="9"/>
      <c r="I60" s="9"/>
      <c r="J60" s="9"/>
      <c r="K60" s="93">
        <f>+F60-I60+J60-H60</f>
        <v>160</v>
      </c>
      <c r="L60" s="243">
        <v>160</v>
      </c>
      <c r="M60" s="251">
        <f>+K60-L60</f>
        <v>0</v>
      </c>
      <c r="N60" s="251" t="s">
        <v>545</v>
      </c>
      <c r="O60" s="251">
        <v>320</v>
      </c>
      <c r="P60" s="251">
        <f>+L60-O60</f>
        <v>-160</v>
      </c>
      <c r="Q60" s="285" t="s">
        <v>423</v>
      </c>
      <c r="R60" s="5"/>
      <c r="S60" s="8"/>
      <c r="T60" s="8"/>
      <c r="U60" s="8"/>
      <c r="V60" s="8"/>
      <c r="W60" s="8"/>
      <c r="X60" s="8">
        <v>1</v>
      </c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194">
        <f>IF($G60="Youth 0-3",1,0)</f>
        <v>0</v>
      </c>
      <c r="AY60" s="194">
        <f>IF($G60="Youth 4-11",1,0)</f>
        <v>0</v>
      </c>
      <c r="AZ60" s="194">
        <f>IF($G60="Youth 12-15",1,0)</f>
        <v>0</v>
      </c>
      <c r="BA60" s="194">
        <f>IF($G60="Addict",1,0)</f>
        <v>1</v>
      </c>
      <c r="BB60" s="194">
        <f>IF($G60="Non-Addict",1,0)</f>
        <v>0</v>
      </c>
      <c r="BC60" s="194">
        <f>IF($G60="Free Reg Certificate",1,0)</f>
        <v>0</v>
      </c>
      <c r="BD60" s="194">
        <f>IF($G60="Newcomer",1,0)</f>
        <v>0</v>
      </c>
      <c r="BE60" s="194">
        <f>IF($G60="Committee",1,0)</f>
        <v>0</v>
      </c>
      <c r="BF60" s="194">
        <f>IF($G60="Treatment",1,0)</f>
        <v>0</v>
      </c>
      <c r="BG60" s="194">
        <f>IF($G60="Meeting Sponsored",1,0)</f>
        <v>0</v>
      </c>
      <c r="BH60" s="194">
        <f>IF($G60="Programming",1,0)</f>
        <v>0</v>
      </c>
      <c r="BI60" s="194">
        <f>IF($G60="Hardship",1,0)</f>
        <v>0</v>
      </c>
      <c r="BJ60" s="194">
        <f>IF($G60="Refund",1,0)</f>
        <v>0</v>
      </c>
      <c r="BK60" s="194">
        <f>IF($G60="Vermilion Bucks",1,0)</f>
        <v>0</v>
      </c>
      <c r="BL60" s="194">
        <f>IF($G60="Other",1,0)</f>
        <v>0</v>
      </c>
      <c r="BM60" s="286"/>
      <c r="BN60" s="286"/>
      <c r="BO60" s="286">
        <f>SUM(AX60:BL60)</f>
        <v>1</v>
      </c>
      <c r="BP60" s="287">
        <f>SUM(R60:AW60)</f>
        <v>1</v>
      </c>
      <c r="BQ60" s="287">
        <f>+BO60+BP60</f>
        <v>2</v>
      </c>
    </row>
    <row r="61" spans="1:69" s="7" customFormat="1" x14ac:dyDescent="0.2">
      <c r="A61" s="182" t="s">
        <v>521</v>
      </c>
      <c r="B61" s="283" t="s">
        <v>353</v>
      </c>
      <c r="C61" s="5"/>
      <c r="D61" s="6"/>
      <c r="E61" s="284">
        <f>IF($D61 = 0,0,DATEDIF($D61,$D$7,"D"))</f>
        <v>0</v>
      </c>
      <c r="F61" s="193">
        <f>((R61*$R$2)+(S61*$S$2)+(T61*$T$2)++(U61*$U$2)++(V61*$V$2)++(W61*$W$2)++(X61*$X$2)++(Y61*$Y$2)+(Z61*$Z$2)+(AA61*$AA$2)+(AB61*$AB$2)+(AC61*$AC$2)+(AD61*$AD$2)+(AE61*$AE$2)+(AF61*$AF$2)+(AG61*$AG$2)+(AH61*$AH$2)+(AI61*$AI$2)+(AJ61*$AJ$2)+(AK61*$AK$2)+(AL61*$AL$2)+(AM61*$AM$2)+(AN61*$AN$2)+(AO61*$AO$2)+(AP61*$AP$2)+(AQ61*$AQ$2)+(AR61*$AR$2)+(AS61*$AS$2)+(AT61*$AT$2)+(AU61*$AU$2)+(AV61*$AV$2)+(AW61*$AW$2))</f>
        <v>0</v>
      </c>
      <c r="G61" s="8" t="s">
        <v>171</v>
      </c>
      <c r="H61" s="9"/>
      <c r="I61" s="9"/>
      <c r="J61" s="9"/>
      <c r="K61" s="93">
        <f>+F61-I61+J61-H61</f>
        <v>0</v>
      </c>
      <c r="L61" s="64">
        <v>0</v>
      </c>
      <c r="M61" s="253">
        <f>+K61-L61</f>
        <v>0</v>
      </c>
      <c r="N61" s="253" t="s">
        <v>549</v>
      </c>
      <c r="O61" s="253"/>
      <c r="P61" s="253">
        <f>+L61-O61</f>
        <v>0</v>
      </c>
      <c r="Q61" s="271" t="s">
        <v>521</v>
      </c>
      <c r="R61" s="5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194">
        <f>IF($G61="Youth 0-3",1,0)</f>
        <v>0</v>
      </c>
      <c r="AY61" s="194">
        <f>IF($G61="Youth 4-11",1,0)</f>
        <v>0</v>
      </c>
      <c r="AZ61" s="194">
        <f>IF($G61="Youth 12-15",1,0)</f>
        <v>0</v>
      </c>
      <c r="BA61" s="194">
        <f>IF($G61="Addict",1,0)</f>
        <v>0</v>
      </c>
      <c r="BB61" s="194">
        <f>IF($G61="Non-Addict",1,0)</f>
        <v>0</v>
      </c>
      <c r="BC61" s="194">
        <f>IF($G61="Free Reg Certificate",1,0)</f>
        <v>0</v>
      </c>
      <c r="BD61" s="194">
        <f>IF($G61="Newcomer",1,0)</f>
        <v>0</v>
      </c>
      <c r="BE61" s="194">
        <f>IF($G61="Committee",1,0)</f>
        <v>0</v>
      </c>
      <c r="BF61" s="194">
        <f>IF($G61="Treatment",1,0)</f>
        <v>0</v>
      </c>
      <c r="BG61" s="194">
        <f>IF($G61="Meeting Sponsored",1,0)</f>
        <v>0</v>
      </c>
      <c r="BH61" s="194">
        <f>IF($G61="Programming",1,0)</f>
        <v>0</v>
      </c>
      <c r="BI61" s="194">
        <f>IF($G61="Hardship",1,0)</f>
        <v>0</v>
      </c>
      <c r="BJ61" s="194">
        <f>IF($G61="Refund",1,0)</f>
        <v>1</v>
      </c>
      <c r="BK61" s="194">
        <f>IF($G61="Vermilion Bucks",1,0)</f>
        <v>0</v>
      </c>
      <c r="BL61" s="194">
        <f>IF($G61="Other",1,0)</f>
        <v>0</v>
      </c>
      <c r="BM61" s="286"/>
      <c r="BN61" s="286"/>
      <c r="BO61" s="286">
        <f>SUM(AX61:BL61)</f>
        <v>1</v>
      </c>
      <c r="BP61" s="287">
        <f>SUM(R61:AW61)</f>
        <v>0</v>
      </c>
      <c r="BQ61" s="287">
        <f>+BO61+BP61</f>
        <v>1</v>
      </c>
    </row>
    <row r="62" spans="1:69" s="7" customFormat="1" ht="10.199999999999999" customHeight="1" x14ac:dyDescent="0.2">
      <c r="A62" s="189" t="s">
        <v>294</v>
      </c>
      <c r="B62" s="187" t="s">
        <v>301</v>
      </c>
      <c r="C62" s="5">
        <v>205</v>
      </c>
      <c r="D62" s="6">
        <v>38626</v>
      </c>
      <c r="E62" s="284">
        <f>IF($D62 = 0,0,DATEDIF($D62,$D$7,"D"))</f>
        <v>5824</v>
      </c>
      <c r="F62" s="193">
        <f>((R62*$R$2)+(S62*$S$2)+(T62*$T$2)++(U62*$U$2)++(V62*$V$2)++(W62*$W$2)++(X62*$X$2)++(Y62*$Y$2)+(Z62*$Z$2)+(AA62*$AA$2)+(AB62*$AB$2)+(AC62*$AC$2)+(AD62*$AD$2)+(AE62*$AE$2)+(AF62*$AF$2)+(AG62*$AG$2)+(AH62*$AH$2)+(AI62*$AI$2)+(AJ62*$AJ$2)+(AK62*$AK$2)+(AL62*$AL$2)+(AM62*$AM$2)+(AN62*$AN$2)+(AO62*$AO$2)+(AP62*$AP$2)+(AQ62*$AQ$2)+(AR62*$AR$2)+(AS62*$AS$2)+(AT62*$AT$2)+(AU62*$AU$2)+(AV62*$AV$2)+(AW62*$AW$2))</f>
        <v>100</v>
      </c>
      <c r="G62" s="8" t="s">
        <v>38</v>
      </c>
      <c r="H62" s="9"/>
      <c r="I62" s="9"/>
      <c r="J62" s="9"/>
      <c r="K62" s="93">
        <f>+F62-I62+J62-H62</f>
        <v>100</v>
      </c>
      <c r="L62" s="64">
        <v>100</v>
      </c>
      <c r="M62" s="253">
        <f>+K62-L62</f>
        <v>0</v>
      </c>
      <c r="N62" s="253" t="s">
        <v>548</v>
      </c>
      <c r="O62" s="253">
        <v>100</v>
      </c>
      <c r="P62" s="253">
        <f>+L62-O62</f>
        <v>0</v>
      </c>
      <c r="Q62" s="271" t="s">
        <v>294</v>
      </c>
      <c r="R62" s="5"/>
      <c r="S62" s="8">
        <v>1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194">
        <f>IF($G62="Youth 0-3",1,0)</f>
        <v>0</v>
      </c>
      <c r="AY62" s="194">
        <f>IF($G62="Youth 4-11",1,0)</f>
        <v>0</v>
      </c>
      <c r="AZ62" s="194">
        <f>IF($G62="Youth 12-15",1,0)</f>
        <v>0</v>
      </c>
      <c r="BA62" s="194">
        <f>IF($G62="Addict",1,0)</f>
        <v>1</v>
      </c>
      <c r="BB62" s="194">
        <f>IF($G62="Non-Addict",1,0)</f>
        <v>0</v>
      </c>
      <c r="BC62" s="194">
        <f>IF($G62="Free Reg Certificate",1,0)</f>
        <v>0</v>
      </c>
      <c r="BD62" s="194">
        <f>IF($G62="Newcomer",1,0)</f>
        <v>0</v>
      </c>
      <c r="BE62" s="194">
        <f>IF($G62="Committee",1,0)</f>
        <v>0</v>
      </c>
      <c r="BF62" s="194">
        <f>IF($G62="Treatment",1,0)</f>
        <v>0</v>
      </c>
      <c r="BG62" s="194">
        <f>IF($G62="Meeting Sponsored",1,0)</f>
        <v>0</v>
      </c>
      <c r="BH62" s="194">
        <f>IF($G62="Programming",1,0)</f>
        <v>0</v>
      </c>
      <c r="BI62" s="194">
        <f>IF($G62="Hardship",1,0)</f>
        <v>0</v>
      </c>
      <c r="BJ62" s="194">
        <f>IF($G62="Refund",1,0)</f>
        <v>0</v>
      </c>
      <c r="BK62" s="194">
        <f>IF($G62="Vermilion Bucks",1,0)</f>
        <v>0</v>
      </c>
      <c r="BL62" s="194">
        <f>IF($G62="Other",1,0)</f>
        <v>0</v>
      </c>
      <c r="BM62" s="286"/>
      <c r="BN62" s="286"/>
      <c r="BO62" s="286">
        <f>SUM(AX62:BL62)</f>
        <v>1</v>
      </c>
      <c r="BP62" s="287">
        <f>SUM(R62:AW62)</f>
        <v>1</v>
      </c>
      <c r="BQ62" s="287">
        <f>+BO62+BP62</f>
        <v>2</v>
      </c>
    </row>
    <row r="63" spans="1:69" s="7" customFormat="1" x14ac:dyDescent="0.2">
      <c r="A63" s="276" t="s">
        <v>336</v>
      </c>
      <c r="B63" s="187" t="s">
        <v>337</v>
      </c>
      <c r="C63" s="5">
        <v>237</v>
      </c>
      <c r="D63" s="6">
        <v>43132</v>
      </c>
      <c r="E63" s="284">
        <f>IF($D63 = 0,0,DATEDIF($D63,$D$7,"D"))</f>
        <v>1318</v>
      </c>
      <c r="F63" s="193">
        <f>((R63*$R$2)+(S63*$S$2)+(T63*$T$2)++(U63*$U$2)++(V63*$V$2)++(W63*$W$2)++(X63*$X$2)++(Y63*$Y$2)+(Z63*$Z$2)+(AA63*$AA$2)+(AB63*$AB$2)+(AC63*$AC$2)+(AD63*$AD$2)+(AE63*$AE$2)+(AF63*$AF$2)+(AG63*$AG$2)+(AH63*$AH$2)+(AI63*$AI$2)+(AJ63*$AJ$2)+(AK63*$AK$2)+(AL63*$AL$2)+(AM63*$AM$2)+(AN63*$AN$2)+(AO63*$AO$2)+(AP63*$AP$2)+(AQ63*$AQ$2)+(AR63*$AR$2)+(AS63*$AS$2)+(AT63*$AT$2)+(AU63*$AU$2)+(AV63*$AV$2)+(AW63*$AW$2))</f>
        <v>100</v>
      </c>
      <c r="G63" s="8" t="s">
        <v>38</v>
      </c>
      <c r="H63" s="9"/>
      <c r="I63" s="9"/>
      <c r="J63" s="9"/>
      <c r="K63" s="93">
        <f>+F63-I63+J63-H63</f>
        <v>100</v>
      </c>
      <c r="L63" s="243">
        <v>100</v>
      </c>
      <c r="M63" s="251">
        <f>+K63-L63</f>
        <v>0</v>
      </c>
      <c r="N63" s="251" t="s">
        <v>545</v>
      </c>
      <c r="O63" s="251">
        <v>101</v>
      </c>
      <c r="P63" s="251">
        <f>+L63-O63</f>
        <v>-1</v>
      </c>
      <c r="Q63" s="285" t="s">
        <v>336</v>
      </c>
      <c r="R63" s="5"/>
      <c r="S63" s="8">
        <v>1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194">
        <f>IF($G63="Youth 0-3",1,0)</f>
        <v>0</v>
      </c>
      <c r="AY63" s="194">
        <f>IF($G63="Youth 4-11",1,0)</f>
        <v>0</v>
      </c>
      <c r="AZ63" s="194">
        <f>IF($G63="Youth 12-15",1,0)</f>
        <v>0</v>
      </c>
      <c r="BA63" s="194">
        <f>IF($G63="Addict",1,0)</f>
        <v>1</v>
      </c>
      <c r="BB63" s="194">
        <f>IF($G63="Non-Addict",1,0)</f>
        <v>0</v>
      </c>
      <c r="BC63" s="194">
        <f>IF($G63="Free Reg Certificate",1,0)</f>
        <v>0</v>
      </c>
      <c r="BD63" s="194">
        <f>IF($G63="Newcomer",1,0)</f>
        <v>0</v>
      </c>
      <c r="BE63" s="194">
        <f>IF($G63="Committee",1,0)</f>
        <v>0</v>
      </c>
      <c r="BF63" s="194">
        <f>IF($G63="Treatment",1,0)</f>
        <v>0</v>
      </c>
      <c r="BG63" s="194">
        <f>IF($G63="Meeting Sponsored",1,0)</f>
        <v>0</v>
      </c>
      <c r="BH63" s="194">
        <f>IF($G63="Programming",1,0)</f>
        <v>0</v>
      </c>
      <c r="BI63" s="194">
        <f>IF($G63="Hardship",1,0)</f>
        <v>0</v>
      </c>
      <c r="BJ63" s="194">
        <f>IF($G63="Refund",1,0)</f>
        <v>0</v>
      </c>
      <c r="BK63" s="194">
        <f>IF($G63="Vermilion Bucks",1,0)</f>
        <v>0</v>
      </c>
      <c r="BL63" s="194">
        <f>IF($G63="Other",1,0)</f>
        <v>0</v>
      </c>
      <c r="BM63" s="286"/>
      <c r="BN63" s="286"/>
      <c r="BO63" s="286">
        <f>SUM(AX63:BL63)</f>
        <v>1</v>
      </c>
      <c r="BP63" s="287">
        <f>SUM(R63:AW63)</f>
        <v>1</v>
      </c>
      <c r="BQ63" s="287">
        <f>+BO63+BP63</f>
        <v>2</v>
      </c>
    </row>
    <row r="64" spans="1:69" s="7" customFormat="1" x14ac:dyDescent="0.2">
      <c r="A64" s="189" t="s">
        <v>392</v>
      </c>
      <c r="B64" s="283" t="s">
        <v>393</v>
      </c>
      <c r="C64" s="5">
        <v>220</v>
      </c>
      <c r="D64" s="6">
        <v>40422</v>
      </c>
      <c r="E64" s="284">
        <f>IF($D64 = 0,0,DATEDIF($D64,$D$7,"D"))</f>
        <v>4028</v>
      </c>
      <c r="F64" s="193">
        <f>((R64*$R$2)+(S64*$S$2)+(T64*$T$2)++(U64*$U$2)++(V64*$V$2)++(W64*$W$2)++(X64*$X$2)++(Y64*$Y$2)+(Z64*$Z$2)+(AA64*$AA$2)+(AB64*$AB$2)+(AC64*$AC$2)+(AD64*$AD$2)+(AE64*$AE$2)+(AF64*$AF$2)+(AG64*$AG$2)+(AH64*$AH$2)+(AI64*$AI$2)+(AJ64*$AJ$2)+(AK64*$AK$2)+(AL64*$AL$2)+(AM64*$AM$2)+(AN64*$AN$2)+(AO64*$AO$2)+(AP64*$AP$2)+(AQ64*$AQ$2)+(AR64*$AR$2)+(AS64*$AS$2)+(AT64*$AT$2)+(AU64*$AU$2)+(AV64*$AV$2)+(AW64*$AW$2))</f>
        <v>125</v>
      </c>
      <c r="G64" s="8" t="s">
        <v>38</v>
      </c>
      <c r="H64" s="9"/>
      <c r="I64" s="9"/>
      <c r="J64" s="9"/>
      <c r="K64" s="93">
        <f>+F64-I64+J64-H64</f>
        <v>125</v>
      </c>
      <c r="L64" s="64">
        <v>125</v>
      </c>
      <c r="M64" s="253">
        <f>+K64-L64</f>
        <v>0</v>
      </c>
      <c r="N64" s="253" t="s">
        <v>545</v>
      </c>
      <c r="O64" s="253">
        <v>125</v>
      </c>
      <c r="P64" s="253">
        <f>+L64-O64</f>
        <v>0</v>
      </c>
      <c r="Q64" s="291" t="s">
        <v>296</v>
      </c>
      <c r="R64" s="5"/>
      <c r="S64" s="8"/>
      <c r="T64" s="8"/>
      <c r="U64" s="8"/>
      <c r="V64" s="8"/>
      <c r="W64" s="8"/>
      <c r="X64" s="8"/>
      <c r="Y64" s="8"/>
      <c r="Z64" s="8"/>
      <c r="AA64" s="8"/>
      <c r="AB64" s="8">
        <v>1</v>
      </c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194">
        <f>IF($G64="Youth 0-3",1,0)</f>
        <v>0</v>
      </c>
      <c r="AY64" s="194">
        <f>IF($G64="Youth 4-11",1,0)</f>
        <v>0</v>
      </c>
      <c r="AZ64" s="194">
        <f>IF($G64="Youth 12-15",1,0)</f>
        <v>0</v>
      </c>
      <c r="BA64" s="194">
        <f>IF($G64="Addict",1,0)</f>
        <v>1</v>
      </c>
      <c r="BB64" s="194">
        <f>IF($G64="Non-Addict",1,0)</f>
        <v>0</v>
      </c>
      <c r="BC64" s="194">
        <f>IF($G64="Free Reg Certificate",1,0)</f>
        <v>0</v>
      </c>
      <c r="BD64" s="194">
        <f>IF($G64="Newcomer",1,0)</f>
        <v>0</v>
      </c>
      <c r="BE64" s="194">
        <f>IF($G64="Committee",1,0)</f>
        <v>0</v>
      </c>
      <c r="BF64" s="194">
        <f>IF($G64="Treatment",1,0)</f>
        <v>0</v>
      </c>
      <c r="BG64" s="194">
        <f>IF($G64="Meeting Sponsored",1,0)</f>
        <v>0</v>
      </c>
      <c r="BH64" s="194">
        <f>IF($G64="Programming",1,0)</f>
        <v>0</v>
      </c>
      <c r="BI64" s="194">
        <f>IF($G64="Hardship",1,0)</f>
        <v>0</v>
      </c>
      <c r="BJ64" s="194">
        <f>IF($G64="Refund",1,0)</f>
        <v>0</v>
      </c>
      <c r="BK64" s="194">
        <f>IF($G64="Vermilion Bucks",1,0)</f>
        <v>0</v>
      </c>
      <c r="BL64" s="194">
        <f>IF($G64="Other",1,0)</f>
        <v>0</v>
      </c>
      <c r="BM64" s="286"/>
      <c r="BN64" s="286"/>
      <c r="BO64" s="286">
        <f>SUM(AX64:BL64)</f>
        <v>1</v>
      </c>
      <c r="BP64" s="287">
        <f>SUM(R64:AW64)</f>
        <v>1</v>
      </c>
      <c r="BQ64" s="287">
        <f>+BO64+BP64</f>
        <v>2</v>
      </c>
    </row>
    <row r="65" spans="1:85" s="7" customFormat="1" x14ac:dyDescent="0.2">
      <c r="A65" s="189" t="s">
        <v>296</v>
      </c>
      <c r="B65" s="187" t="s">
        <v>306</v>
      </c>
      <c r="C65" s="5">
        <v>220</v>
      </c>
      <c r="D65" s="6">
        <v>38760</v>
      </c>
      <c r="E65" s="284">
        <f>IF($D65 = 0,0,DATEDIF($D65,$D$7,"D"))</f>
        <v>5690</v>
      </c>
      <c r="F65" s="193">
        <f>((R65*$R$2)+(S65*$S$2)+(T65*$T$2)++(U65*$U$2)++(V65*$V$2)++(W65*$W$2)++(X65*$X$2)++(Y65*$Y$2)+(Z65*$Z$2)+(AA65*$AA$2)+(AB65*$AB$2)+(AC65*$AC$2)+(AD65*$AD$2)+(AE65*$AE$2)+(AF65*$AF$2)+(AG65*$AG$2)+(AH65*$AH$2)+(AI65*$AI$2)+(AJ65*$AJ$2)+(AK65*$AK$2)+(AL65*$AL$2)+(AM65*$AM$2)+(AN65*$AN$2)+(AO65*$AO$2)+(AP65*$AP$2)+(AQ65*$AQ$2)+(AR65*$AR$2)+(AS65*$AS$2)+(AT65*$AT$2)+(AU65*$AU$2)+(AV65*$AV$2)+(AW65*$AW$2))</f>
        <v>125</v>
      </c>
      <c r="G65" s="8" t="s">
        <v>38</v>
      </c>
      <c r="H65" s="9"/>
      <c r="I65" s="9"/>
      <c r="J65" s="9"/>
      <c r="K65" s="93">
        <f>+F65-I65+J65-H65</f>
        <v>125</v>
      </c>
      <c r="L65" s="64">
        <v>125</v>
      </c>
      <c r="M65" s="253">
        <f>+K65-L65</f>
        <v>0</v>
      </c>
      <c r="N65" s="253" t="s">
        <v>545</v>
      </c>
      <c r="O65" s="253">
        <v>125</v>
      </c>
      <c r="P65" s="253">
        <f>+L65-O65</f>
        <v>0</v>
      </c>
      <c r="Q65" s="291" t="s">
        <v>296</v>
      </c>
      <c r="R65" s="5"/>
      <c r="S65" s="8"/>
      <c r="T65" s="8"/>
      <c r="U65" s="8"/>
      <c r="V65" s="8"/>
      <c r="W65" s="8"/>
      <c r="X65" s="8"/>
      <c r="Y65" s="8"/>
      <c r="Z65" s="8"/>
      <c r="AA65" s="8"/>
      <c r="AB65" s="8">
        <v>1</v>
      </c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194">
        <f>IF($G65="Youth 0-3",1,0)</f>
        <v>0</v>
      </c>
      <c r="AY65" s="194">
        <f>IF($G65="Youth 4-11",1,0)</f>
        <v>0</v>
      </c>
      <c r="AZ65" s="194">
        <f>IF($G65="Youth 12-15",1,0)</f>
        <v>0</v>
      </c>
      <c r="BA65" s="194">
        <f>IF($G65="Addict",1,0)</f>
        <v>1</v>
      </c>
      <c r="BB65" s="194">
        <f>IF($G65="Non-Addict",1,0)</f>
        <v>0</v>
      </c>
      <c r="BC65" s="194">
        <f>IF($G65="Free Reg Certificate",1,0)</f>
        <v>0</v>
      </c>
      <c r="BD65" s="194">
        <f>IF($G65="Newcomer",1,0)</f>
        <v>0</v>
      </c>
      <c r="BE65" s="194">
        <f>IF($G65="Committee",1,0)</f>
        <v>0</v>
      </c>
      <c r="BF65" s="194">
        <f>IF($G65="Treatment",1,0)</f>
        <v>0</v>
      </c>
      <c r="BG65" s="194">
        <f>IF($G65="Meeting Sponsored",1,0)</f>
        <v>0</v>
      </c>
      <c r="BH65" s="194">
        <f>IF($G65="Programming",1,0)</f>
        <v>0</v>
      </c>
      <c r="BI65" s="194">
        <f>IF($G65="Hardship",1,0)</f>
        <v>0</v>
      </c>
      <c r="BJ65" s="194">
        <f>IF($G65="Refund",1,0)</f>
        <v>0</v>
      </c>
      <c r="BK65" s="194">
        <f>IF($G65="Vermilion Bucks",1,0)</f>
        <v>0</v>
      </c>
      <c r="BL65" s="194">
        <f>IF($G65="Other",1,0)</f>
        <v>0</v>
      </c>
      <c r="BM65" s="286"/>
      <c r="BN65" s="286"/>
      <c r="BO65" s="286">
        <f>SUM(AX65:BL65)</f>
        <v>1</v>
      </c>
      <c r="BP65" s="287">
        <f>SUM(R65:AW65)</f>
        <v>1</v>
      </c>
      <c r="BQ65" s="287">
        <f>+BO65+BP65</f>
        <v>2</v>
      </c>
    </row>
    <row r="66" spans="1:85" s="7" customFormat="1" ht="10.199999999999999" customHeight="1" x14ac:dyDescent="0.2">
      <c r="A66" s="189" t="s">
        <v>334</v>
      </c>
      <c r="B66" s="187" t="s">
        <v>335</v>
      </c>
      <c r="C66" s="5">
        <v>200</v>
      </c>
      <c r="D66" s="6">
        <v>43145</v>
      </c>
      <c r="E66" s="284">
        <f>IF($D66 = 0,0,DATEDIF($D66,$D$7,"D"))</f>
        <v>1305</v>
      </c>
      <c r="F66" s="193">
        <f>((R66*$R$2)+(S66*$S$2)+(T66*$T$2)++(U66*$U$2)++(V66*$V$2)++(W66*$W$2)++(X66*$X$2)++(Y66*$Y$2)+(Z66*$Z$2)+(AA66*$AA$2)+(AB66*$AB$2)+(AC66*$AC$2)+(AD66*$AD$2)+(AE66*$AE$2)+(AF66*$AF$2)+(AG66*$AG$2)+(AH66*$AH$2)+(AI66*$AI$2)+(AJ66*$AJ$2)+(AK66*$AK$2)+(AL66*$AL$2)+(AM66*$AM$2)+(AN66*$AN$2)+(AO66*$AO$2)+(AP66*$AP$2)+(AQ66*$AQ$2)+(AR66*$AR$2)+(AS66*$AS$2)+(AT66*$AT$2)+(AU66*$AU$2)+(AV66*$AV$2)+(AW66*$AW$2))</f>
        <v>125</v>
      </c>
      <c r="G66" s="8" t="s">
        <v>38</v>
      </c>
      <c r="H66" s="9"/>
      <c r="I66" s="9"/>
      <c r="J66" s="9"/>
      <c r="K66" s="93">
        <f>+F66-I66+J66-H66</f>
        <v>125</v>
      </c>
      <c r="L66" s="64">
        <v>125</v>
      </c>
      <c r="M66" s="253">
        <f>+K66-L66</f>
        <v>0</v>
      </c>
      <c r="N66" s="253" t="s">
        <v>545</v>
      </c>
      <c r="O66" s="253">
        <v>125</v>
      </c>
      <c r="P66" s="253">
        <f>+L66-O66</f>
        <v>0</v>
      </c>
      <c r="Q66" s="271" t="s">
        <v>334</v>
      </c>
      <c r="R66" s="5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>
        <v>1</v>
      </c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194">
        <f>IF($G66="Youth 0-3",1,0)</f>
        <v>0</v>
      </c>
      <c r="AY66" s="194">
        <f>IF($G66="Youth 4-11",1,0)</f>
        <v>0</v>
      </c>
      <c r="AZ66" s="194">
        <f>IF($G66="Youth 12-15",1,0)</f>
        <v>0</v>
      </c>
      <c r="BA66" s="194">
        <f>IF($G66="Addict",1,0)</f>
        <v>1</v>
      </c>
      <c r="BB66" s="194">
        <f>IF($G66="Non-Addict",1,0)</f>
        <v>0</v>
      </c>
      <c r="BC66" s="194">
        <f>IF($G66="Free Reg Certificate",1,0)</f>
        <v>0</v>
      </c>
      <c r="BD66" s="194">
        <f>IF($G66="Newcomer",1,0)</f>
        <v>0</v>
      </c>
      <c r="BE66" s="194">
        <f>IF($G66="Committee",1,0)</f>
        <v>0</v>
      </c>
      <c r="BF66" s="194">
        <f>IF($G66="Treatment",1,0)</f>
        <v>0</v>
      </c>
      <c r="BG66" s="194">
        <f>IF($G66="Meeting Sponsored",1,0)</f>
        <v>0</v>
      </c>
      <c r="BH66" s="194">
        <f>IF($G66="Programming",1,0)</f>
        <v>0</v>
      </c>
      <c r="BI66" s="194">
        <f>IF($G66="Hardship",1,0)</f>
        <v>0</v>
      </c>
      <c r="BJ66" s="194">
        <f>IF($G66="Refund",1,0)</f>
        <v>0</v>
      </c>
      <c r="BK66" s="194">
        <f>IF($G66="Vermilion Bucks",1,0)</f>
        <v>0</v>
      </c>
      <c r="BL66" s="194">
        <f>IF($G66="Other",1,0)</f>
        <v>0</v>
      </c>
      <c r="BM66" s="286"/>
      <c r="BN66" s="286"/>
      <c r="BO66" s="286">
        <f>SUM(AX66:BL66)</f>
        <v>1</v>
      </c>
      <c r="BP66" s="287">
        <f>SUM(R66:AW66)</f>
        <v>1</v>
      </c>
      <c r="BQ66" s="287">
        <f>+BO66+BP66</f>
        <v>2</v>
      </c>
    </row>
    <row r="67" spans="1:85" s="7" customFormat="1" ht="10.199999999999999" customHeight="1" x14ac:dyDescent="0.2">
      <c r="A67" s="182" t="s">
        <v>240</v>
      </c>
      <c r="B67" s="283" t="s">
        <v>241</v>
      </c>
      <c r="C67" s="5">
        <v>100</v>
      </c>
      <c r="D67" s="6">
        <v>38908</v>
      </c>
      <c r="E67" s="284">
        <f>IF($D67 = 0,0,DATEDIF($D67,$D$7,"D"))</f>
        <v>5542</v>
      </c>
      <c r="F67" s="193">
        <f>((R67*$R$2)+(S67*$S$2)+(T67*$T$2)++(U67*$U$2)++(V67*$V$2)++(W67*$W$2)++(X67*$X$2)++(Y67*$Y$2)+(Z67*$Z$2)+(AA67*$AA$2)+(AB67*$AB$2)+(AC67*$AC$2)+(AD67*$AD$2)+(AE67*$AE$2)+(AF67*$AF$2)+(AG67*$AG$2)+(AH67*$AH$2)+(AI67*$AI$2)+(AJ67*$AJ$2)+(AK67*$AK$2)+(AL67*$AL$2)+(AM67*$AM$2)+(AN67*$AN$2)+(AO67*$AO$2)+(AP67*$AP$2)+(AQ67*$AQ$2)+(AR67*$AR$2)+(AS67*$AS$2)+(AT67*$AT$2)+(AU67*$AU$2)+(AV67*$AV$2)+(AW67*$AW$2))</f>
        <v>160</v>
      </c>
      <c r="G67" s="8" t="s">
        <v>6</v>
      </c>
      <c r="H67" s="9">
        <v>25</v>
      </c>
      <c r="I67" s="9"/>
      <c r="J67" s="9">
        <v>25</v>
      </c>
      <c r="K67" s="93">
        <f>+F67-I67+J67-H67</f>
        <v>160</v>
      </c>
      <c r="L67" s="64">
        <v>160</v>
      </c>
      <c r="M67" s="253">
        <f>+K67-L67</f>
        <v>0</v>
      </c>
      <c r="N67" s="253" t="s">
        <v>545</v>
      </c>
      <c r="O67" s="253">
        <v>160</v>
      </c>
      <c r="P67" s="253">
        <f>+L67-O67</f>
        <v>0</v>
      </c>
      <c r="Q67" s="271" t="s">
        <v>240</v>
      </c>
      <c r="R67" s="5"/>
      <c r="S67" s="8"/>
      <c r="T67" s="8"/>
      <c r="U67" s="8"/>
      <c r="V67" s="8">
        <v>1</v>
      </c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194">
        <f>IF($G67="Youth 0-3",1,0)</f>
        <v>0</v>
      </c>
      <c r="AY67" s="194">
        <f>IF($G67="Youth 4-11",1,0)</f>
        <v>0</v>
      </c>
      <c r="AZ67" s="194">
        <f>IF($G67="Youth 12-15",1,0)</f>
        <v>0</v>
      </c>
      <c r="BA67" s="194">
        <f>IF($G67="Addict",1,0)</f>
        <v>0</v>
      </c>
      <c r="BB67" s="194">
        <f>IF($G67="Non-Addict",1,0)</f>
        <v>0</v>
      </c>
      <c r="BC67" s="194">
        <f>IF($G67="Free Reg Certificate",1,0)</f>
        <v>0</v>
      </c>
      <c r="BD67" s="194">
        <f>IF($G67="Newcomer",1,0)</f>
        <v>0</v>
      </c>
      <c r="BE67" s="194">
        <f>IF($G67="Committee",1,0)</f>
        <v>1</v>
      </c>
      <c r="BF67" s="194">
        <f>IF($G67="Treatment",1,0)</f>
        <v>0</v>
      </c>
      <c r="BG67" s="194">
        <f>IF($G67="Meeting Sponsored",1,0)</f>
        <v>0</v>
      </c>
      <c r="BH67" s="194">
        <f>IF($G67="Programming",1,0)</f>
        <v>0</v>
      </c>
      <c r="BI67" s="194">
        <f>IF($G67="Hardship",1,0)</f>
        <v>0</v>
      </c>
      <c r="BJ67" s="194">
        <f>IF($G67="Refund",1,0)</f>
        <v>0</v>
      </c>
      <c r="BK67" s="194">
        <f>IF($G67="Vermilion Bucks",1,0)</f>
        <v>0</v>
      </c>
      <c r="BL67" s="194">
        <f>IF($G67="Other",1,0)</f>
        <v>0</v>
      </c>
      <c r="BM67" s="286"/>
      <c r="BN67" s="286"/>
      <c r="BO67" s="286">
        <f>SUM(AX67:BL67)</f>
        <v>1</v>
      </c>
      <c r="BP67" s="287">
        <f>SUM(R67:AW67)</f>
        <v>1</v>
      </c>
      <c r="BQ67" s="287">
        <f>+BO67+BP67</f>
        <v>2</v>
      </c>
    </row>
    <row r="68" spans="1:85" s="7" customFormat="1" x14ac:dyDescent="0.2">
      <c r="A68" s="189" t="s">
        <v>385</v>
      </c>
      <c r="B68" s="187"/>
      <c r="C68" s="5">
        <v>265</v>
      </c>
      <c r="D68" s="6">
        <v>43039</v>
      </c>
      <c r="E68" s="284">
        <f>IF($D68 = 0,0,DATEDIF($D68,$D$7,"D"))</f>
        <v>1411</v>
      </c>
      <c r="F68" s="193">
        <f>((R68*$R$2)+(S68*$S$2)+(T68*$T$2)++(U68*$U$2)++(V68*$V$2)++(W68*$W$2)++(X68*$X$2)++(Y68*$Y$2)+(Z68*$Z$2)+(AA68*$AA$2)+(AB68*$AB$2)+(AC68*$AC$2)+(AD68*$AD$2)+(AE68*$AE$2)+(AF68*$AF$2)+(AG68*$AG$2)+(AH68*$AH$2)+(AI68*$AI$2)+(AJ68*$AJ$2)+(AK68*$AK$2)+(AL68*$AL$2)+(AM68*$AM$2)+(AN68*$AN$2)+(AO68*$AO$2)+(AP68*$AP$2)+(AQ68*$AQ$2)+(AR68*$AR$2)+(AS68*$AS$2)+(AT68*$AT$2)+(AU68*$AU$2)+(AV68*$AV$2)+(AW68*$AW$2))</f>
        <v>140</v>
      </c>
      <c r="G68" s="8" t="s">
        <v>38</v>
      </c>
      <c r="H68" s="9"/>
      <c r="I68" s="9"/>
      <c r="J68" s="9"/>
      <c r="K68" s="93">
        <f>+F68-I68+J68-H68</f>
        <v>140</v>
      </c>
      <c r="L68" s="64">
        <v>140</v>
      </c>
      <c r="M68" s="253">
        <f>+K68-L68</f>
        <v>0</v>
      </c>
      <c r="N68" s="253" t="s">
        <v>545</v>
      </c>
      <c r="O68" s="253">
        <v>140</v>
      </c>
      <c r="P68" s="253">
        <f>+L68-O68</f>
        <v>0</v>
      </c>
      <c r="Q68" s="291" t="s">
        <v>265</v>
      </c>
      <c r="R68" s="5"/>
      <c r="S68" s="8"/>
      <c r="T68" s="8"/>
      <c r="U68" s="8"/>
      <c r="V68" s="8"/>
      <c r="W68" s="8"/>
      <c r="X68" s="8"/>
      <c r="Y68" s="8"/>
      <c r="Z68" s="8">
        <v>1</v>
      </c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194">
        <f>IF($G68="Youth 0-3",1,0)</f>
        <v>0</v>
      </c>
      <c r="AY68" s="194">
        <f>IF($G68="Youth 4-11",1,0)</f>
        <v>0</v>
      </c>
      <c r="AZ68" s="194">
        <f>IF($G68="Youth 12-15",1,0)</f>
        <v>0</v>
      </c>
      <c r="BA68" s="194">
        <f>IF($G68="Addict",1,0)</f>
        <v>1</v>
      </c>
      <c r="BB68" s="194">
        <f>IF($G68="Non-Addict",1,0)</f>
        <v>0</v>
      </c>
      <c r="BC68" s="194">
        <f>IF($G68="Free Reg Certificate",1,0)</f>
        <v>0</v>
      </c>
      <c r="BD68" s="194">
        <f>IF($G68="Newcomer",1,0)</f>
        <v>0</v>
      </c>
      <c r="BE68" s="194">
        <f>IF($G68="Committee",1,0)</f>
        <v>0</v>
      </c>
      <c r="BF68" s="194">
        <f>IF($G68="Treatment",1,0)</f>
        <v>0</v>
      </c>
      <c r="BG68" s="194">
        <f>IF($G68="Meeting Sponsored",1,0)</f>
        <v>0</v>
      </c>
      <c r="BH68" s="194">
        <f>IF($G68="Programming",1,0)</f>
        <v>0</v>
      </c>
      <c r="BI68" s="194">
        <f>IF($G68="Hardship",1,0)</f>
        <v>0</v>
      </c>
      <c r="BJ68" s="194">
        <f>IF($G68="Refund",1,0)</f>
        <v>0</v>
      </c>
      <c r="BK68" s="194">
        <f>IF($G68="Vermilion Bucks",1,0)</f>
        <v>0</v>
      </c>
      <c r="BL68" s="194">
        <f>IF($G68="Other",1,0)</f>
        <v>0</v>
      </c>
      <c r="BM68" s="286"/>
      <c r="BN68" s="286"/>
      <c r="BO68" s="286">
        <f>SUM(AX68:BL68)</f>
        <v>1</v>
      </c>
      <c r="BP68" s="287">
        <f>SUM(R68:AW68)</f>
        <v>1</v>
      </c>
      <c r="BQ68" s="287">
        <f>+BO68+BP68</f>
        <v>2</v>
      </c>
    </row>
    <row r="69" spans="1:85" s="7" customFormat="1" ht="10.199999999999999" customHeight="1" x14ac:dyDescent="0.2">
      <c r="A69" s="189" t="s">
        <v>265</v>
      </c>
      <c r="B69" s="187" t="s">
        <v>267</v>
      </c>
      <c r="C69" s="5">
        <v>265</v>
      </c>
      <c r="D69" s="6">
        <v>43922</v>
      </c>
      <c r="E69" s="284">
        <f>IF($D69 = 0,0,DATEDIF($D69,$D$7,"D"))</f>
        <v>528</v>
      </c>
      <c r="F69" s="193">
        <f>((R69*$R$2)+(S69*$S$2)+(T69*$T$2)++(U69*$U$2)++(V69*$V$2)++(W69*$W$2)++(X69*$X$2)++(Y69*$Y$2)+(Z69*$Z$2)+(AA69*$AA$2)+(AB69*$AB$2)+(AC69*$AC$2)+(AD69*$AD$2)+(AE69*$AE$2)+(AF69*$AF$2)+(AG69*$AG$2)+(AH69*$AH$2)+(AI69*$AI$2)+(AJ69*$AJ$2)+(AK69*$AK$2)+(AL69*$AL$2)+(AM69*$AM$2)+(AN69*$AN$2)+(AO69*$AO$2)+(AP69*$AP$2)+(AQ69*$AQ$2)+(AR69*$AR$2)+(AS69*$AS$2)+(AT69*$AT$2)+(AU69*$AU$2)+(AV69*$AV$2)+(AW69*$AW$2))</f>
        <v>140</v>
      </c>
      <c r="G69" s="8" t="s">
        <v>38</v>
      </c>
      <c r="H69" s="9"/>
      <c r="I69" s="9"/>
      <c r="J69" s="9"/>
      <c r="K69" s="93">
        <f>+F69-I69+J69-H69</f>
        <v>140</v>
      </c>
      <c r="L69" s="64">
        <v>140</v>
      </c>
      <c r="M69" s="253">
        <f>+K69-L69</f>
        <v>0</v>
      </c>
      <c r="N69" s="253" t="s">
        <v>545</v>
      </c>
      <c r="O69" s="253">
        <v>140</v>
      </c>
      <c r="P69" s="253">
        <f>+L69-O69</f>
        <v>0</v>
      </c>
      <c r="Q69" s="291" t="s">
        <v>265</v>
      </c>
      <c r="R69" s="5"/>
      <c r="S69" s="8"/>
      <c r="T69" s="8"/>
      <c r="U69" s="8"/>
      <c r="V69" s="8"/>
      <c r="W69" s="8"/>
      <c r="X69" s="8"/>
      <c r="Y69" s="8"/>
      <c r="Z69" s="8">
        <v>1</v>
      </c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194">
        <f>IF($G69="Youth 0-3",1,0)</f>
        <v>0</v>
      </c>
      <c r="AY69" s="194">
        <f>IF($G69="Youth 4-11",1,0)</f>
        <v>0</v>
      </c>
      <c r="AZ69" s="194">
        <f>IF($G69="Youth 12-15",1,0)</f>
        <v>0</v>
      </c>
      <c r="BA69" s="194">
        <f>IF($G69="Addict",1,0)</f>
        <v>1</v>
      </c>
      <c r="BB69" s="194">
        <f>IF($G69="Non-Addict",1,0)</f>
        <v>0</v>
      </c>
      <c r="BC69" s="194">
        <f>IF($G69="Free Reg Certificate",1,0)</f>
        <v>0</v>
      </c>
      <c r="BD69" s="194">
        <f>IF($G69="Newcomer",1,0)</f>
        <v>0</v>
      </c>
      <c r="BE69" s="194">
        <f>IF($G69="Committee",1,0)</f>
        <v>0</v>
      </c>
      <c r="BF69" s="194">
        <f>IF($G69="Treatment",1,0)</f>
        <v>0</v>
      </c>
      <c r="BG69" s="194">
        <f>IF($G69="Meeting Sponsored",1,0)</f>
        <v>0</v>
      </c>
      <c r="BH69" s="194">
        <f>IF($G69="Programming",1,0)</f>
        <v>0</v>
      </c>
      <c r="BI69" s="194">
        <f>IF($G69="Hardship",1,0)</f>
        <v>0</v>
      </c>
      <c r="BJ69" s="194">
        <f>IF($G69="Refund",1,0)</f>
        <v>0</v>
      </c>
      <c r="BK69" s="194">
        <f>IF($G69="Vermilion Bucks",1,0)</f>
        <v>0</v>
      </c>
      <c r="BL69" s="194">
        <f>IF($G69="Other",1,0)</f>
        <v>0</v>
      </c>
      <c r="BM69" s="286"/>
      <c r="BN69" s="286"/>
      <c r="BO69" s="286">
        <f>SUM(AX69:BL69)</f>
        <v>1</v>
      </c>
      <c r="BP69" s="287">
        <f>SUM(R69:AW69)</f>
        <v>1</v>
      </c>
      <c r="BQ69" s="287">
        <f>+BO69+BP69</f>
        <v>2</v>
      </c>
    </row>
    <row r="70" spans="1:85" s="7" customFormat="1" ht="10.199999999999999" customHeight="1" x14ac:dyDescent="0.2">
      <c r="A70" s="189" t="s">
        <v>297</v>
      </c>
      <c r="B70" s="187" t="s">
        <v>307</v>
      </c>
      <c r="C70" s="5">
        <v>240</v>
      </c>
      <c r="D70" s="6">
        <v>39183</v>
      </c>
      <c r="E70" s="284">
        <f>IF($D70 = 0,0,DATEDIF($D70,$D$7,"D"))</f>
        <v>5267</v>
      </c>
      <c r="F70" s="193">
        <f>((R70*$R$2)+(S70*$S$2)+(T70*$T$2)++(U70*$U$2)++(V70*$V$2)++(W70*$W$2)++(X70*$X$2)++(Y70*$Y$2)+(Z70*$Z$2)+(AA70*$AA$2)+(AB70*$AB$2)+(AC70*$AC$2)+(AD70*$AD$2)+(AE70*$AE$2)+(AF70*$AF$2)+(AG70*$AG$2)+(AH70*$AH$2)+(AI70*$AI$2)+(AJ70*$AJ$2)+(AK70*$AK$2)+(AL70*$AL$2)+(AM70*$AM$2)+(AN70*$AN$2)+(AO70*$AO$2)+(AP70*$AP$2)+(AQ70*$AQ$2)+(AR70*$AR$2)+(AS70*$AS$2)+(AT70*$AT$2)+(AU70*$AU$2)+(AV70*$AV$2)+(AW70*$AW$2))</f>
        <v>125</v>
      </c>
      <c r="G70" s="8" t="s">
        <v>38</v>
      </c>
      <c r="H70" s="9"/>
      <c r="I70" s="9"/>
      <c r="J70" s="9"/>
      <c r="K70" s="93">
        <f>+F70-I70+J70-H70</f>
        <v>125</v>
      </c>
      <c r="L70" s="64">
        <v>125</v>
      </c>
      <c r="M70" s="253">
        <f>+K70-L70</f>
        <v>0</v>
      </c>
      <c r="N70" s="253" t="s">
        <v>545</v>
      </c>
      <c r="O70" s="253">
        <v>125</v>
      </c>
      <c r="P70" s="253">
        <f>+L70-O70</f>
        <v>0</v>
      </c>
      <c r="Q70" s="271" t="s">
        <v>297</v>
      </c>
      <c r="R70" s="5"/>
      <c r="S70" s="8"/>
      <c r="T70" s="8"/>
      <c r="U70" s="8"/>
      <c r="V70" s="8"/>
      <c r="W70" s="8"/>
      <c r="X70" s="8"/>
      <c r="Y70" s="8"/>
      <c r="Z70" s="8"/>
      <c r="AA70" s="8"/>
      <c r="AB70" s="8"/>
      <c r="AC70" s="8">
        <v>1</v>
      </c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194">
        <f>IF($G70="Youth 0-3",1,0)</f>
        <v>0</v>
      </c>
      <c r="AY70" s="194">
        <f>IF($G70="Youth 4-11",1,0)</f>
        <v>0</v>
      </c>
      <c r="AZ70" s="194">
        <f>IF($G70="Youth 12-15",1,0)</f>
        <v>0</v>
      </c>
      <c r="BA70" s="194">
        <f>IF($G70="Addict",1,0)</f>
        <v>1</v>
      </c>
      <c r="BB70" s="194">
        <f>IF($G70="Non-Addict",1,0)</f>
        <v>0</v>
      </c>
      <c r="BC70" s="194">
        <f>IF($G70="Free Reg Certificate",1,0)</f>
        <v>0</v>
      </c>
      <c r="BD70" s="194">
        <f>IF($G70="Newcomer",1,0)</f>
        <v>0</v>
      </c>
      <c r="BE70" s="194">
        <f>IF($G70="Committee",1,0)</f>
        <v>0</v>
      </c>
      <c r="BF70" s="194">
        <f>IF($G70="Treatment",1,0)</f>
        <v>0</v>
      </c>
      <c r="BG70" s="194">
        <f>IF($G70="Meeting Sponsored",1,0)</f>
        <v>0</v>
      </c>
      <c r="BH70" s="194">
        <f>IF($G70="Programming",1,0)</f>
        <v>0</v>
      </c>
      <c r="BI70" s="194">
        <f>IF($G70="Hardship",1,0)</f>
        <v>0</v>
      </c>
      <c r="BJ70" s="194">
        <f>IF($G70="Refund",1,0)</f>
        <v>0</v>
      </c>
      <c r="BK70" s="194">
        <f>IF($G70="Vermilion Bucks",1,0)</f>
        <v>0</v>
      </c>
      <c r="BL70" s="194">
        <f>IF($G70="Other",1,0)</f>
        <v>0</v>
      </c>
      <c r="BM70" s="286"/>
      <c r="BN70" s="286"/>
      <c r="BO70" s="286">
        <f>SUM(AX70:BL70)</f>
        <v>1</v>
      </c>
      <c r="BP70" s="287">
        <f>SUM(R70:AW70)</f>
        <v>1</v>
      </c>
      <c r="BQ70" s="287">
        <f>+BO70+BP70</f>
        <v>2</v>
      </c>
    </row>
    <row r="71" spans="1:85" s="7" customFormat="1" ht="10.199999999999999" customHeight="1" x14ac:dyDescent="0.2">
      <c r="A71" s="189" t="s">
        <v>312</v>
      </c>
      <c r="B71" s="187" t="s">
        <v>315</v>
      </c>
      <c r="C71" s="5">
        <v>167</v>
      </c>
      <c r="D71" s="6">
        <v>40360</v>
      </c>
      <c r="E71" s="284">
        <f>IF($D71 = 0,0,DATEDIF($D71,$D$7,"D"))</f>
        <v>4090</v>
      </c>
      <c r="F71" s="193">
        <f>((R71*$R$2)+(S71*$S$2)+(T71*$T$2)++(U71*$U$2)++(V71*$V$2)++(W71*$W$2)++(X71*$X$2)++(Y71*$Y$2)+(Z71*$Z$2)+(AA71*$AA$2)+(AB71*$AB$2)+(AC71*$AC$2)+(AD71*$AD$2)+(AE71*$AE$2)+(AF71*$AF$2)+(AG71*$AG$2)+(AH71*$AH$2)+(AI71*$AI$2)+(AJ71*$AJ$2)+(AK71*$AK$2)+(AL71*$AL$2)+(AM71*$AM$2)+(AN71*$AN$2)+(AO71*$AO$2)+(AP71*$AP$2)+(AQ71*$AQ$2)+(AR71*$AR$2)+(AS71*$AS$2)+(AT71*$AT$2)+(AU71*$AU$2)+(AV71*$AV$2)+(AW71*$AW$2))</f>
        <v>125</v>
      </c>
      <c r="G71" s="8" t="s">
        <v>38</v>
      </c>
      <c r="H71" s="9"/>
      <c r="I71" s="9"/>
      <c r="J71" s="9"/>
      <c r="K71" s="93">
        <f>+F71-I71+J71-H71</f>
        <v>125</v>
      </c>
      <c r="L71" s="64">
        <v>125</v>
      </c>
      <c r="M71" s="253">
        <f>+K71-L71</f>
        <v>0</v>
      </c>
      <c r="N71" s="253" t="s">
        <v>545</v>
      </c>
      <c r="O71" s="253">
        <v>125</v>
      </c>
      <c r="P71" s="253">
        <f>+L71-O71</f>
        <v>0</v>
      </c>
      <c r="Q71" s="271" t="s">
        <v>312</v>
      </c>
      <c r="R71" s="5"/>
      <c r="S71" s="8"/>
      <c r="T71" s="8"/>
      <c r="U71" s="8"/>
      <c r="V71" s="8"/>
      <c r="W71" s="8"/>
      <c r="X71" s="8"/>
      <c r="Y71" s="8"/>
      <c r="Z71" s="8"/>
      <c r="AA71" s="8"/>
      <c r="AB71" s="8">
        <v>1</v>
      </c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194">
        <f>IF($G71="Youth 0-3",1,0)</f>
        <v>0</v>
      </c>
      <c r="AY71" s="194">
        <f>IF($G71="Youth 4-11",1,0)</f>
        <v>0</v>
      </c>
      <c r="AZ71" s="194">
        <f>IF($G71="Youth 12-15",1,0)</f>
        <v>0</v>
      </c>
      <c r="BA71" s="194">
        <f>IF($G71="Addict",1,0)</f>
        <v>1</v>
      </c>
      <c r="BB71" s="194">
        <f>IF($G71="Non-Addict",1,0)</f>
        <v>0</v>
      </c>
      <c r="BC71" s="194">
        <f>IF($G71="Free Reg Certificate",1,0)</f>
        <v>0</v>
      </c>
      <c r="BD71" s="194">
        <f>IF($G71="Newcomer",1,0)</f>
        <v>0</v>
      </c>
      <c r="BE71" s="194">
        <f>IF($G71="Committee",1,0)</f>
        <v>0</v>
      </c>
      <c r="BF71" s="194">
        <f>IF($G71="Treatment",1,0)</f>
        <v>0</v>
      </c>
      <c r="BG71" s="194">
        <f>IF($G71="Meeting Sponsored",1,0)</f>
        <v>0</v>
      </c>
      <c r="BH71" s="194">
        <f>IF($G71="Programming",1,0)</f>
        <v>0</v>
      </c>
      <c r="BI71" s="194">
        <f>IF($G71="Hardship",1,0)</f>
        <v>0</v>
      </c>
      <c r="BJ71" s="194">
        <f>IF($G71="Refund",1,0)</f>
        <v>0</v>
      </c>
      <c r="BK71" s="194">
        <f>IF($G71="Vermilion Bucks",1,0)</f>
        <v>0</v>
      </c>
      <c r="BL71" s="194">
        <f>IF($G71="Other",1,0)</f>
        <v>0</v>
      </c>
      <c r="BM71" s="286"/>
      <c r="BN71" s="286"/>
      <c r="BO71" s="286">
        <f>SUM(AX71:BL71)</f>
        <v>1</v>
      </c>
      <c r="BP71" s="287">
        <f>SUM(R71:AW71)</f>
        <v>1</v>
      </c>
      <c r="BQ71" s="287">
        <f>+BO71+BP71</f>
        <v>2</v>
      </c>
      <c r="BR71" s="241"/>
      <c r="BS71" s="241"/>
      <c r="BT71" s="241"/>
      <c r="BU71" s="241"/>
      <c r="BV71" s="241"/>
      <c r="BW71" s="241"/>
      <c r="BX71" s="241"/>
      <c r="BY71" s="241"/>
      <c r="BZ71" s="241"/>
      <c r="CA71" s="241"/>
      <c r="CB71" s="241"/>
      <c r="CC71" s="241"/>
      <c r="CD71" s="241"/>
      <c r="CE71" s="241"/>
      <c r="CF71" s="241"/>
      <c r="CG71" s="241"/>
    </row>
    <row r="72" spans="1:85" s="7" customFormat="1" ht="10.199999999999999" customHeight="1" x14ac:dyDescent="0.2">
      <c r="A72" s="189" t="s">
        <v>295</v>
      </c>
      <c r="B72" s="187" t="s">
        <v>303</v>
      </c>
      <c r="C72" s="5">
        <v>265</v>
      </c>
      <c r="D72" s="6">
        <v>42515</v>
      </c>
      <c r="E72" s="284">
        <f>IF($D72 = 0,0,DATEDIF($D72,$D$7,"D"))</f>
        <v>1935</v>
      </c>
      <c r="F72" s="193">
        <f>((R72*$R$2)+(S72*$S$2)+(T72*$T$2)++(U72*$U$2)++(V72*$V$2)++(W72*$W$2)++(X72*$X$2)++(Y72*$Y$2)+(Z72*$Z$2)+(AA72*$AA$2)+(AB72*$AB$2)+(AC72*$AC$2)+(AD72*$AD$2)+(AE72*$AE$2)+(AF72*$AF$2)+(AG72*$AG$2)+(AH72*$AH$2)+(AI72*$AI$2)+(AJ72*$AJ$2)+(AK72*$AK$2)+(AL72*$AL$2)+(AM72*$AM$2)+(AN72*$AN$2)+(AO72*$AO$2)+(AP72*$AP$2)+(AQ72*$AQ$2)+(AR72*$AR$2)+(AS72*$AS$2)+(AT72*$AT$2)+(AU72*$AU$2)+(AV72*$AV$2)+(AW72*$AW$2))</f>
        <v>160</v>
      </c>
      <c r="G72" s="8" t="s">
        <v>38</v>
      </c>
      <c r="H72" s="9"/>
      <c r="I72" s="9"/>
      <c r="J72" s="9"/>
      <c r="K72" s="93">
        <f>+F72-I72+J72-H72</f>
        <v>160</v>
      </c>
      <c r="L72" s="64">
        <v>160</v>
      </c>
      <c r="M72" s="253">
        <f>+K72-L72</f>
        <v>0</v>
      </c>
      <c r="N72" s="253" t="s">
        <v>545</v>
      </c>
      <c r="O72" s="253">
        <v>160</v>
      </c>
      <c r="P72" s="253">
        <f>+L72-O72</f>
        <v>0</v>
      </c>
      <c r="Q72" s="271" t="s">
        <v>295</v>
      </c>
      <c r="R72" s="5"/>
      <c r="S72" s="8"/>
      <c r="T72" s="8"/>
      <c r="U72" s="8"/>
      <c r="V72" s="8"/>
      <c r="W72" s="8"/>
      <c r="X72" s="8">
        <v>1</v>
      </c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194">
        <f>IF($G72="Youth 0-3",1,0)</f>
        <v>0</v>
      </c>
      <c r="AY72" s="194">
        <f>IF($G72="Youth 4-11",1,0)</f>
        <v>0</v>
      </c>
      <c r="AZ72" s="194">
        <f>IF($G72="Youth 12-15",1,0)</f>
        <v>0</v>
      </c>
      <c r="BA72" s="194">
        <f>IF($G72="Addict",1,0)</f>
        <v>1</v>
      </c>
      <c r="BB72" s="194">
        <f>IF($G72="Non-Addict",1,0)</f>
        <v>0</v>
      </c>
      <c r="BC72" s="194">
        <f>IF($G72="Free Reg Certificate",1,0)</f>
        <v>0</v>
      </c>
      <c r="BD72" s="194">
        <f>IF($G72="Newcomer",1,0)</f>
        <v>0</v>
      </c>
      <c r="BE72" s="194">
        <f>IF($G72="Committee",1,0)</f>
        <v>0</v>
      </c>
      <c r="BF72" s="194">
        <f>IF($G72="Treatment",1,0)</f>
        <v>0</v>
      </c>
      <c r="BG72" s="194">
        <f>IF($G72="Meeting Sponsored",1,0)</f>
        <v>0</v>
      </c>
      <c r="BH72" s="194">
        <f>IF($G72="Programming",1,0)</f>
        <v>0</v>
      </c>
      <c r="BI72" s="194">
        <f>IF($G72="Hardship",1,0)</f>
        <v>0</v>
      </c>
      <c r="BJ72" s="194">
        <f>IF($G72="Refund",1,0)</f>
        <v>0</v>
      </c>
      <c r="BK72" s="194">
        <f>IF($G72="Vermilion Bucks",1,0)</f>
        <v>0</v>
      </c>
      <c r="BL72" s="194">
        <f>IF($G72="Other",1,0)</f>
        <v>0</v>
      </c>
      <c r="BM72" s="286"/>
      <c r="BN72" s="286"/>
      <c r="BO72" s="286">
        <f>SUM(AX72:BL72)</f>
        <v>1</v>
      </c>
      <c r="BP72" s="287">
        <f>SUM(R72:AW72)</f>
        <v>1</v>
      </c>
      <c r="BQ72" s="287">
        <f>+BO72+BP72</f>
        <v>2</v>
      </c>
    </row>
    <row r="73" spans="1:85" s="7" customFormat="1" x14ac:dyDescent="0.2">
      <c r="A73" s="182" t="s">
        <v>238</v>
      </c>
      <c r="B73" s="177" t="s">
        <v>239</v>
      </c>
      <c r="C73" s="5">
        <v>200</v>
      </c>
      <c r="D73" s="6">
        <v>34504</v>
      </c>
      <c r="E73" s="284">
        <f>IF($D73 = 0,0,DATEDIF($D73,$D$7,"D"))</f>
        <v>9946</v>
      </c>
      <c r="F73" s="193">
        <f>((R73*$R$2)+(S73*$S$2)+(T73*$T$2)++(U73*$U$2)++(V73*$V$2)++(W73*$W$2)++(X73*$X$2)++(Y73*$Y$2)+(Z73*$Z$2)+(AA73*$AA$2)+(AB73*$AB$2)+(AC73*$AC$2)+(AD73*$AD$2)+(AE73*$AE$2)+(AF73*$AF$2)+(AG73*$AG$2)+(AH73*$AH$2)+(AI73*$AI$2)+(AJ73*$AJ$2)+(AK73*$AK$2)+(AL73*$AL$2)+(AM73*$AM$2)+(AN73*$AN$2)+(AO73*$AO$2)+(AP73*$AP$2)+(AQ73*$AQ$2)+(AR73*$AR$2)+(AS73*$AS$2)+(AT73*$AT$2)+(AU73*$AU$2)+(AV73*$AV$2)+(AW73*$AW$2))</f>
        <v>140</v>
      </c>
      <c r="G73" s="8" t="s">
        <v>38</v>
      </c>
      <c r="H73" s="9"/>
      <c r="I73" s="9"/>
      <c r="J73" s="9"/>
      <c r="K73" s="93">
        <f>+F73-I73+J73-H73</f>
        <v>140</v>
      </c>
      <c r="L73" s="64">
        <v>140</v>
      </c>
      <c r="M73" s="253">
        <f>+K73-L73</f>
        <v>0</v>
      </c>
      <c r="N73" s="253" t="s">
        <v>548</v>
      </c>
      <c r="O73" s="253">
        <v>140</v>
      </c>
      <c r="P73" s="253">
        <f>+L73-O73</f>
        <v>0</v>
      </c>
      <c r="Q73" s="271" t="s">
        <v>238</v>
      </c>
      <c r="R73" s="5"/>
      <c r="S73" s="8"/>
      <c r="T73" s="8"/>
      <c r="U73" s="8"/>
      <c r="V73" s="8"/>
      <c r="W73" s="8"/>
      <c r="X73" s="8"/>
      <c r="Y73" s="8"/>
      <c r="Z73" s="8">
        <v>1</v>
      </c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194">
        <f>IF($G73="Youth 0-3",1,0)</f>
        <v>0</v>
      </c>
      <c r="AY73" s="194">
        <f>IF($G73="Youth 4-11",1,0)</f>
        <v>0</v>
      </c>
      <c r="AZ73" s="194">
        <f>IF($G73="Youth 12-15",1,0)</f>
        <v>0</v>
      </c>
      <c r="BA73" s="194">
        <f>IF($G73="Addict",1,0)</f>
        <v>1</v>
      </c>
      <c r="BB73" s="194">
        <f>IF($G73="Non-Addict",1,0)</f>
        <v>0</v>
      </c>
      <c r="BC73" s="194">
        <f>IF($G73="Free Reg Certificate",1,0)</f>
        <v>0</v>
      </c>
      <c r="BD73" s="194">
        <f>IF($G73="Newcomer",1,0)</f>
        <v>0</v>
      </c>
      <c r="BE73" s="194">
        <f>IF($G73="Committee",1,0)</f>
        <v>0</v>
      </c>
      <c r="BF73" s="194">
        <f>IF($G73="Treatment",1,0)</f>
        <v>0</v>
      </c>
      <c r="BG73" s="194">
        <f>IF($G73="Meeting Sponsored",1,0)</f>
        <v>0</v>
      </c>
      <c r="BH73" s="194">
        <f>IF($G73="Programming",1,0)</f>
        <v>0</v>
      </c>
      <c r="BI73" s="194">
        <f>IF($G73="Hardship",1,0)</f>
        <v>0</v>
      </c>
      <c r="BJ73" s="194">
        <f>IF($G73="Refund",1,0)</f>
        <v>0</v>
      </c>
      <c r="BK73" s="194">
        <f>IF($G73="Vermilion Bucks",1,0)</f>
        <v>0</v>
      </c>
      <c r="BL73" s="194">
        <f>IF($G73="Other",1,0)</f>
        <v>0</v>
      </c>
      <c r="BM73" s="286"/>
      <c r="BN73" s="286"/>
      <c r="BO73" s="286">
        <f>SUM(AX73:BL73)</f>
        <v>1</v>
      </c>
      <c r="BP73" s="287">
        <f>SUM(R73:AW73)</f>
        <v>1</v>
      </c>
      <c r="BQ73" s="287">
        <f>+BO73+BP73</f>
        <v>2</v>
      </c>
    </row>
    <row r="74" spans="1:85" s="7" customFormat="1" ht="10.199999999999999" customHeight="1" x14ac:dyDescent="0.2">
      <c r="A74" s="182" t="s">
        <v>246</v>
      </c>
      <c r="B74" s="177" t="s">
        <v>247</v>
      </c>
      <c r="C74" s="5">
        <v>136</v>
      </c>
      <c r="D74" s="6">
        <v>43176</v>
      </c>
      <c r="E74" s="284">
        <f>IF($D74 = 0,0,DATEDIF($D74,$D$7,"D"))</f>
        <v>1274</v>
      </c>
      <c r="F74" s="193">
        <f>((R74*$R$2)+(S74*$S$2)+(T74*$T$2)++(U74*$U$2)++(V74*$V$2)++(W74*$W$2)++(X74*$X$2)++(Y74*$Y$2)+(Z74*$Z$2)+(AA74*$AA$2)+(AB74*$AB$2)+(AC74*$AC$2)+(AD74*$AD$2)+(AE74*$AE$2)+(AF74*$AF$2)+(AG74*$AG$2)+(AH74*$AH$2)+(AI74*$AI$2)+(AJ74*$AJ$2)+(AK74*$AK$2)+(AL74*$AL$2)+(AM74*$AM$2)+(AN74*$AN$2)+(AO74*$AO$2)+(AP74*$AP$2)+(AQ74*$AQ$2)+(AR74*$AR$2)+(AS74*$AS$2)+(AT74*$AT$2)+(AU74*$AU$2)+(AV74*$AV$2)+(AW74*$AW$2))</f>
        <v>160</v>
      </c>
      <c r="G74" s="8" t="s">
        <v>38</v>
      </c>
      <c r="H74" s="9"/>
      <c r="I74" s="9"/>
      <c r="J74" s="9"/>
      <c r="K74" s="93">
        <f>+F74-I74+J74-H74</f>
        <v>160</v>
      </c>
      <c r="L74" s="64">
        <v>160</v>
      </c>
      <c r="M74" s="253">
        <f>+K74-L74</f>
        <v>0</v>
      </c>
      <c r="N74" s="253" t="s">
        <v>548</v>
      </c>
      <c r="O74" s="253">
        <v>160</v>
      </c>
      <c r="P74" s="253">
        <f>+L74-O74</f>
        <v>0</v>
      </c>
      <c r="Q74" s="271" t="s">
        <v>246</v>
      </c>
      <c r="R74" s="5"/>
      <c r="S74" s="8"/>
      <c r="T74" s="8"/>
      <c r="U74" s="8"/>
      <c r="V74" s="8"/>
      <c r="W74" s="8"/>
      <c r="X74" s="8">
        <v>1</v>
      </c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194">
        <f>IF($G74="Youth 0-3",1,0)</f>
        <v>0</v>
      </c>
      <c r="AY74" s="194">
        <f>IF($G74="Youth 4-11",1,0)</f>
        <v>0</v>
      </c>
      <c r="AZ74" s="194">
        <f>IF($G74="Youth 12-15",1,0)</f>
        <v>0</v>
      </c>
      <c r="BA74" s="194">
        <f>IF($G74="Addict",1,0)</f>
        <v>1</v>
      </c>
      <c r="BB74" s="194">
        <f>IF($G74="Non-Addict",1,0)</f>
        <v>0</v>
      </c>
      <c r="BC74" s="194">
        <f>IF($G74="Free Reg Certificate",1,0)</f>
        <v>0</v>
      </c>
      <c r="BD74" s="194">
        <f>IF($G74="Newcomer",1,0)</f>
        <v>0</v>
      </c>
      <c r="BE74" s="194">
        <f>IF($G74="Committee",1,0)</f>
        <v>0</v>
      </c>
      <c r="BF74" s="194">
        <f>IF($G74="Treatment",1,0)</f>
        <v>0</v>
      </c>
      <c r="BG74" s="194">
        <f>IF($G74="Meeting Sponsored",1,0)</f>
        <v>0</v>
      </c>
      <c r="BH74" s="194">
        <f>IF($G74="Programming",1,0)</f>
        <v>0</v>
      </c>
      <c r="BI74" s="194">
        <f>IF($G74="Hardship",1,0)</f>
        <v>0</v>
      </c>
      <c r="BJ74" s="194">
        <f>IF($G74="Refund",1,0)</f>
        <v>0</v>
      </c>
      <c r="BK74" s="194">
        <f>IF($G74="Vermilion Bucks",1,0)</f>
        <v>0</v>
      </c>
      <c r="BL74" s="194">
        <f>IF($G74="Other",1,0)</f>
        <v>0</v>
      </c>
      <c r="BM74" s="286"/>
      <c r="BN74" s="286"/>
      <c r="BO74" s="286">
        <f>SUM(AX74:BL74)</f>
        <v>1</v>
      </c>
      <c r="BP74" s="287">
        <f>SUM(R74:AW74)</f>
        <v>1</v>
      </c>
      <c r="BQ74" s="287">
        <f>+BO74+BP74</f>
        <v>2</v>
      </c>
      <c r="BR74" s="241"/>
      <c r="BS74" s="241"/>
      <c r="BT74" s="241"/>
      <c r="BU74" s="241"/>
      <c r="BV74" s="241"/>
      <c r="BW74" s="241"/>
      <c r="BX74" s="241"/>
      <c r="BY74" s="241"/>
      <c r="BZ74" s="241"/>
      <c r="CA74" s="241"/>
      <c r="CB74" s="241"/>
      <c r="CC74" s="241"/>
      <c r="CD74" s="241"/>
      <c r="CE74" s="241"/>
      <c r="CF74" s="241"/>
      <c r="CG74" s="241"/>
    </row>
    <row r="75" spans="1:85" s="7" customFormat="1" x14ac:dyDescent="0.2">
      <c r="A75" s="189" t="s">
        <v>327</v>
      </c>
      <c r="B75" s="187" t="s">
        <v>328</v>
      </c>
      <c r="C75" s="5">
        <v>232</v>
      </c>
      <c r="D75" s="6">
        <v>44331</v>
      </c>
      <c r="E75" s="284">
        <f>IF($D75 = 0,0,DATEDIF($D75,$D$7,"D"))</f>
        <v>119</v>
      </c>
      <c r="F75" s="193">
        <f>((R75*$R$2)+(S75*$S$2)+(T75*$T$2)++(U75*$U$2)++(V75*$V$2)++(W75*$W$2)++(X75*$X$2)++(Y75*$Y$2)+(Z75*$Z$2)+(AA75*$AA$2)+(AB75*$AB$2)+(AC75*$AC$2)+(AD75*$AD$2)+(AE75*$AE$2)+(AF75*$AF$2)+(AG75*$AG$2)+(AH75*$AH$2)+(AI75*$AI$2)+(AJ75*$AJ$2)+(AK75*$AK$2)+(AL75*$AL$2)+(AM75*$AM$2)+(AN75*$AN$2)+(AO75*$AO$2)+(AP75*$AP$2)+(AQ75*$AQ$2)+(AR75*$AR$2)+(AS75*$AS$2)+(AT75*$AT$2)+(AU75*$AU$2)+(AV75*$AV$2)+(AW75*$AW$2))</f>
        <v>130</v>
      </c>
      <c r="G75" s="8" t="s">
        <v>38</v>
      </c>
      <c r="H75" s="9"/>
      <c r="I75" s="9"/>
      <c r="J75" s="9"/>
      <c r="K75" s="93">
        <f>+F75-I75+J75-H75</f>
        <v>130</v>
      </c>
      <c r="L75" s="64">
        <v>130</v>
      </c>
      <c r="M75" s="253">
        <f>+K75-L75</f>
        <v>0</v>
      </c>
      <c r="N75" s="253" t="s">
        <v>548</v>
      </c>
      <c r="O75" s="253">
        <v>130</v>
      </c>
      <c r="P75" s="253">
        <f>+L75-O75</f>
        <v>0</v>
      </c>
      <c r="Q75" s="271" t="s">
        <v>327</v>
      </c>
      <c r="R75" s="5"/>
      <c r="S75" s="8"/>
      <c r="T75" s="8"/>
      <c r="U75" s="8"/>
      <c r="V75" s="8"/>
      <c r="W75" s="8"/>
      <c r="X75" s="8"/>
      <c r="Y75" s="8"/>
      <c r="Z75" s="8"/>
      <c r="AA75" s="8">
        <v>1</v>
      </c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194">
        <f>IF($G75="Youth 0-3",1,0)</f>
        <v>0</v>
      </c>
      <c r="AY75" s="194">
        <f>IF($G75="Youth 4-11",1,0)</f>
        <v>0</v>
      </c>
      <c r="AZ75" s="194">
        <f>IF($G75="Youth 12-15",1,0)</f>
        <v>0</v>
      </c>
      <c r="BA75" s="194">
        <f>IF($G75="Addict",1,0)</f>
        <v>1</v>
      </c>
      <c r="BB75" s="194">
        <f>IF($G75="Non-Addict",1,0)</f>
        <v>0</v>
      </c>
      <c r="BC75" s="194">
        <f>IF($G75="Free Reg Certificate",1,0)</f>
        <v>0</v>
      </c>
      <c r="BD75" s="194">
        <f>IF($G75="Newcomer",1,0)</f>
        <v>0</v>
      </c>
      <c r="BE75" s="194">
        <f>IF($G75="Committee",1,0)</f>
        <v>0</v>
      </c>
      <c r="BF75" s="194">
        <f>IF($G75="Treatment",1,0)</f>
        <v>0</v>
      </c>
      <c r="BG75" s="194">
        <f>IF($G75="Meeting Sponsored",1,0)</f>
        <v>0</v>
      </c>
      <c r="BH75" s="194">
        <f>IF($G75="Programming",1,0)</f>
        <v>0</v>
      </c>
      <c r="BI75" s="194">
        <f>IF($G75="Hardship",1,0)</f>
        <v>0</v>
      </c>
      <c r="BJ75" s="194">
        <f>IF($G75="Refund",1,0)</f>
        <v>0</v>
      </c>
      <c r="BK75" s="194">
        <f>IF($G75="Vermilion Bucks",1,0)</f>
        <v>0</v>
      </c>
      <c r="BL75" s="194">
        <f>IF($G75="Other",1,0)</f>
        <v>0</v>
      </c>
      <c r="BM75" s="286"/>
      <c r="BN75" s="286"/>
      <c r="BO75" s="286">
        <f>SUM(AX75:BL75)</f>
        <v>1</v>
      </c>
      <c r="BP75" s="287">
        <f>SUM(R75:AW75)</f>
        <v>1</v>
      </c>
      <c r="BQ75" s="287">
        <f>+BO75+BP75</f>
        <v>2</v>
      </c>
    </row>
    <row r="76" spans="1:85" s="7" customFormat="1" x14ac:dyDescent="0.2">
      <c r="A76" s="182" t="s">
        <v>261</v>
      </c>
      <c r="B76" s="177" t="s">
        <v>262</v>
      </c>
      <c r="C76" s="5"/>
      <c r="D76" s="6"/>
      <c r="E76" s="284">
        <f>IF($D76 = 0,0,DATEDIF($D76,$D$7,"D"))</f>
        <v>0</v>
      </c>
      <c r="F76" s="193">
        <f>((R76*$R$2)+(S76*$S$2)+(T76*$T$2)++(U76*$U$2)++(V76*$V$2)++(W76*$W$2)++(X76*$X$2)++(Y76*$Y$2)+(Z76*$Z$2)+(AA76*$AA$2)+(AB76*$AB$2)+(AC76*$AC$2)+(AD76*$AD$2)+(AE76*$AE$2)+(AF76*$AF$2)+(AG76*$AG$2)+(AH76*$AH$2)+(AI76*$AI$2)+(AJ76*$AJ$2)+(AK76*$AK$2)+(AL76*$AL$2)+(AM76*$AM$2)+(AN76*$AN$2)+(AO76*$AO$2)+(AP76*$AP$2)+(AQ76*$AQ$2)+(AR76*$AR$2)+(AS76*$AS$2)+(AT76*$AT$2)+(AU76*$AU$2)+(AV76*$AV$2)+(AW76*$AW$2))</f>
        <v>125</v>
      </c>
      <c r="G76" s="8" t="s">
        <v>95</v>
      </c>
      <c r="H76" s="9"/>
      <c r="I76" s="9">
        <v>75</v>
      </c>
      <c r="J76" s="9"/>
      <c r="K76" s="93">
        <f>+F76-I76+J76-H76</f>
        <v>50</v>
      </c>
      <c r="L76" s="64">
        <v>50</v>
      </c>
      <c r="M76" s="253">
        <f>+K76-L76</f>
        <v>0</v>
      </c>
      <c r="N76" s="253" t="s">
        <v>548</v>
      </c>
      <c r="O76" s="253">
        <v>50</v>
      </c>
      <c r="P76" s="253">
        <f>+L76-O76</f>
        <v>0</v>
      </c>
      <c r="Q76" s="271" t="s">
        <v>261</v>
      </c>
      <c r="R76" s="5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>
        <v>1</v>
      </c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194">
        <f>IF($G76="Youth 0-3",1,0)</f>
        <v>0</v>
      </c>
      <c r="AY76" s="194">
        <f>IF($G76="Youth 4-11",1,0)</f>
        <v>1</v>
      </c>
      <c r="AZ76" s="194">
        <f>IF($G76="Youth 12-15",1,0)</f>
        <v>0</v>
      </c>
      <c r="BA76" s="194">
        <f>IF($G76="Addict",1,0)</f>
        <v>0</v>
      </c>
      <c r="BB76" s="194">
        <f>IF($G76="Non-Addict",1,0)</f>
        <v>0</v>
      </c>
      <c r="BC76" s="194">
        <f>IF($G76="Free Reg Certificate",1,0)</f>
        <v>0</v>
      </c>
      <c r="BD76" s="194">
        <f>IF($G76="Newcomer",1,0)</f>
        <v>0</v>
      </c>
      <c r="BE76" s="194">
        <f>IF($G76="Committee",1,0)</f>
        <v>0</v>
      </c>
      <c r="BF76" s="194">
        <f>IF($G76="Treatment",1,0)</f>
        <v>0</v>
      </c>
      <c r="BG76" s="194">
        <f>IF($G76="Meeting Sponsored",1,0)</f>
        <v>0</v>
      </c>
      <c r="BH76" s="194">
        <f>IF($G76="Programming",1,0)</f>
        <v>0</v>
      </c>
      <c r="BI76" s="194">
        <f>IF($G76="Hardship",1,0)</f>
        <v>0</v>
      </c>
      <c r="BJ76" s="194">
        <f>IF($G76="Refund",1,0)</f>
        <v>0</v>
      </c>
      <c r="BK76" s="194">
        <f>IF($G76="Vermilion Bucks",1,0)</f>
        <v>0</v>
      </c>
      <c r="BL76" s="194">
        <f>IF($G76="Other",1,0)</f>
        <v>0</v>
      </c>
      <c r="BM76" s="286"/>
      <c r="BN76" s="286"/>
      <c r="BO76" s="286">
        <f>SUM(AX76:BL76)</f>
        <v>1</v>
      </c>
      <c r="BP76" s="287">
        <f>SUM(R76:AW76)</f>
        <v>1</v>
      </c>
      <c r="BQ76" s="287">
        <f>+BO76+BP76</f>
        <v>2</v>
      </c>
    </row>
    <row r="77" spans="1:85" s="7" customFormat="1" x14ac:dyDescent="0.2">
      <c r="A77" s="182" t="s">
        <v>261</v>
      </c>
      <c r="B77" s="177" t="s">
        <v>262</v>
      </c>
      <c r="C77" s="5"/>
      <c r="D77" s="6"/>
      <c r="E77" s="284">
        <f>IF($D77 = 0,0,DATEDIF($D77,$D$7,"D"))</f>
        <v>0</v>
      </c>
      <c r="F77" s="193">
        <f>((R77*$R$2)+(S77*$S$2)+(T77*$T$2)++(U77*$U$2)++(V77*$V$2)++(W77*$W$2)++(X77*$X$2)++(Y77*$Y$2)+(Z77*$Z$2)+(AA77*$AA$2)+(AB77*$AB$2)+(AC77*$AC$2)+(AD77*$AD$2)+(AE77*$AE$2)+(AF77*$AF$2)+(AG77*$AG$2)+(AH77*$AH$2)+(AI77*$AI$2)+(AJ77*$AJ$2)+(AK77*$AK$2)+(AL77*$AL$2)+(AM77*$AM$2)+(AN77*$AN$2)+(AO77*$AO$2)+(AP77*$AP$2)+(AQ77*$AQ$2)+(AR77*$AR$2)+(AS77*$AS$2)+(AT77*$AT$2)+(AU77*$AU$2)+(AV77*$AV$2)+(AW77*$AW$2))</f>
        <v>125</v>
      </c>
      <c r="G77" s="8" t="s">
        <v>38</v>
      </c>
      <c r="H77" s="9"/>
      <c r="I77" s="9"/>
      <c r="J77" s="9"/>
      <c r="K77" s="93">
        <f>+F77-I77+J77-H77</f>
        <v>125</v>
      </c>
      <c r="L77" s="64">
        <v>125</v>
      </c>
      <c r="M77" s="253">
        <f>+K77-L77</f>
        <v>0</v>
      </c>
      <c r="N77" s="253" t="s">
        <v>548</v>
      </c>
      <c r="O77" s="253">
        <v>125</v>
      </c>
      <c r="P77" s="253">
        <f>+L77-O77</f>
        <v>0</v>
      </c>
      <c r="Q77" s="271" t="s">
        <v>261</v>
      </c>
      <c r="R77" s="5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>
        <v>1</v>
      </c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194">
        <f>IF($G77="Youth 0-3",1,0)</f>
        <v>0</v>
      </c>
      <c r="AY77" s="194">
        <f>IF($G77="Youth 4-11",1,0)</f>
        <v>0</v>
      </c>
      <c r="AZ77" s="194">
        <f>IF($G77="Youth 12-15",1,0)</f>
        <v>0</v>
      </c>
      <c r="BA77" s="194">
        <f>IF($G77="Addict",1,0)</f>
        <v>1</v>
      </c>
      <c r="BB77" s="194">
        <f>IF($G77="Non-Addict",1,0)</f>
        <v>0</v>
      </c>
      <c r="BC77" s="194">
        <f>IF($G77="Free Reg Certificate",1,0)</f>
        <v>0</v>
      </c>
      <c r="BD77" s="194">
        <f>IF($G77="Newcomer",1,0)</f>
        <v>0</v>
      </c>
      <c r="BE77" s="194">
        <f>IF($G77="Committee",1,0)</f>
        <v>0</v>
      </c>
      <c r="BF77" s="194">
        <f>IF($G77="Treatment",1,0)</f>
        <v>0</v>
      </c>
      <c r="BG77" s="194">
        <f>IF($G77="Meeting Sponsored",1,0)</f>
        <v>0</v>
      </c>
      <c r="BH77" s="194">
        <f>IF($G77="Programming",1,0)</f>
        <v>0</v>
      </c>
      <c r="BI77" s="194">
        <f>IF($G77="Hardship",1,0)</f>
        <v>0</v>
      </c>
      <c r="BJ77" s="194">
        <f>IF($G77="Refund",1,0)</f>
        <v>0</v>
      </c>
      <c r="BK77" s="194">
        <f>IF($G77="Vermilion Bucks",1,0)</f>
        <v>0</v>
      </c>
      <c r="BL77" s="194">
        <f>IF($G77="Other",1,0)</f>
        <v>0</v>
      </c>
      <c r="BM77" s="286"/>
      <c r="BN77" s="286"/>
      <c r="BO77" s="286">
        <f>SUM(AX77:BL77)</f>
        <v>1</v>
      </c>
      <c r="BP77" s="287">
        <f>SUM(R77:AW77)</f>
        <v>1</v>
      </c>
      <c r="BQ77" s="287">
        <f>+BO77+BP77</f>
        <v>2</v>
      </c>
    </row>
    <row r="78" spans="1:85" s="7" customFormat="1" ht="10.199999999999999" customHeight="1" x14ac:dyDescent="0.2">
      <c r="A78" s="189" t="s">
        <v>277</v>
      </c>
      <c r="B78" s="187" t="s">
        <v>278</v>
      </c>
      <c r="C78" s="5"/>
      <c r="D78" s="6"/>
      <c r="E78" s="284">
        <f>IF($D78 = 0,0,DATEDIF($D78,$D$7,"D"))</f>
        <v>0</v>
      </c>
      <c r="F78" s="193">
        <f>((R78*$R$2)+(S78*$S$2)+(T78*$T$2)++(U78*$U$2)++(V78*$V$2)++(W78*$W$2)++(X78*$X$2)++(Y78*$Y$2)+(Z78*$Z$2)+(AA78*$AA$2)+(AB78*$AB$2)+(AC78*$AC$2)+(AD78*$AD$2)+(AE78*$AE$2)+(AF78*$AF$2)+(AG78*$AG$2)+(AH78*$AH$2)+(AI78*$AI$2)+(AJ78*$AJ$2)+(AK78*$AK$2)+(AL78*$AL$2)+(AM78*$AM$2)+(AN78*$AN$2)+(AO78*$AO$2)+(AP78*$AP$2)+(AQ78*$AQ$2)+(AR78*$AR$2)+(AS78*$AS$2)+(AT78*$AT$2)+(AU78*$AU$2)+(AV78*$AV$2)+(AW78*$AW$2))</f>
        <v>140</v>
      </c>
      <c r="G78" s="8" t="s">
        <v>38</v>
      </c>
      <c r="H78" s="9"/>
      <c r="I78" s="9"/>
      <c r="J78" s="9"/>
      <c r="K78" s="93">
        <f>+F78-I78+J78-H78</f>
        <v>140</v>
      </c>
      <c r="L78" s="64">
        <v>140</v>
      </c>
      <c r="M78" s="253">
        <f>+K78-L78</f>
        <v>0</v>
      </c>
      <c r="N78" s="253" t="s">
        <v>545</v>
      </c>
      <c r="O78" s="253">
        <v>140</v>
      </c>
      <c r="P78" s="253">
        <f>+L78-O78</f>
        <v>0</v>
      </c>
      <c r="Q78" s="271" t="s">
        <v>277</v>
      </c>
      <c r="R78" s="5"/>
      <c r="S78" s="8"/>
      <c r="T78" s="8"/>
      <c r="U78" s="8"/>
      <c r="V78" s="8"/>
      <c r="W78" s="8"/>
      <c r="X78" s="8"/>
      <c r="Y78" s="8"/>
      <c r="Z78" s="8">
        <v>1</v>
      </c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194">
        <f>IF($G78="Youth 0-3",1,0)</f>
        <v>0</v>
      </c>
      <c r="AY78" s="194">
        <f>IF($G78="Youth 4-11",1,0)</f>
        <v>0</v>
      </c>
      <c r="AZ78" s="194">
        <f>IF($G78="Youth 12-15",1,0)</f>
        <v>0</v>
      </c>
      <c r="BA78" s="194">
        <f>IF($G78="Addict",1,0)</f>
        <v>1</v>
      </c>
      <c r="BB78" s="194">
        <f>IF($G78="Non-Addict",1,0)</f>
        <v>0</v>
      </c>
      <c r="BC78" s="194">
        <f>IF($G78="Free Reg Certificate",1,0)</f>
        <v>0</v>
      </c>
      <c r="BD78" s="194">
        <f>IF($G78="Newcomer",1,0)</f>
        <v>0</v>
      </c>
      <c r="BE78" s="194">
        <f>IF($G78="Committee",1,0)</f>
        <v>0</v>
      </c>
      <c r="BF78" s="194">
        <f>IF($G78="Treatment",1,0)</f>
        <v>0</v>
      </c>
      <c r="BG78" s="194">
        <f>IF($G78="Meeting Sponsored",1,0)</f>
        <v>0</v>
      </c>
      <c r="BH78" s="194">
        <f>IF($G78="Programming",1,0)</f>
        <v>0</v>
      </c>
      <c r="BI78" s="194">
        <f>IF($G78="Hardship",1,0)</f>
        <v>0</v>
      </c>
      <c r="BJ78" s="194">
        <f>IF($G78="Refund",1,0)</f>
        <v>0</v>
      </c>
      <c r="BK78" s="194">
        <f>IF($G78="Vermilion Bucks",1,0)</f>
        <v>0</v>
      </c>
      <c r="BL78" s="194">
        <f>IF($G78="Other",1,0)</f>
        <v>0</v>
      </c>
      <c r="BM78" s="286"/>
      <c r="BN78" s="286"/>
      <c r="BO78" s="286">
        <f>SUM(AX78:BL78)</f>
        <v>1</v>
      </c>
      <c r="BP78" s="287">
        <f>SUM(R78:AW78)</f>
        <v>1</v>
      </c>
      <c r="BQ78" s="287">
        <f>+BO78+BP78</f>
        <v>2</v>
      </c>
      <c r="BR78" s="241"/>
      <c r="BS78" s="241"/>
      <c r="BT78" s="241"/>
      <c r="BU78" s="241"/>
      <c r="BV78" s="241"/>
      <c r="BW78" s="241"/>
      <c r="BX78" s="241"/>
      <c r="BY78" s="241"/>
      <c r="BZ78" s="241"/>
      <c r="CA78" s="241"/>
      <c r="CB78" s="241"/>
      <c r="CC78" s="241"/>
      <c r="CD78" s="241"/>
      <c r="CE78" s="241"/>
      <c r="CF78" s="241"/>
      <c r="CG78" s="241"/>
    </row>
    <row r="79" spans="1:85" s="96" customFormat="1" ht="10.199999999999999" customHeight="1" x14ac:dyDescent="0.2">
      <c r="A79" s="189" t="s">
        <v>277</v>
      </c>
      <c r="B79" s="187" t="s">
        <v>278</v>
      </c>
      <c r="C79" s="5"/>
      <c r="D79" s="6"/>
      <c r="E79" s="284">
        <f>IF($D79 = 0,0,DATEDIF($D79,$D$7,"D"))</f>
        <v>0</v>
      </c>
      <c r="F79" s="193">
        <f>((R79*$R$2)+(S79*$S$2)+(T79*$T$2)++(U79*$U$2)++(V79*$V$2)++(W79*$W$2)++(X79*$X$2)++(Y79*$Y$2)+(Z79*$Z$2)+(AA79*$AA$2)+(AB79*$AB$2)+(AC79*$AC$2)+(AD79*$AD$2)+(AE79*$AE$2)+(AF79*$AF$2)+(AG79*$AG$2)+(AH79*$AH$2)+(AI79*$AI$2)+(AJ79*$AJ$2)+(AK79*$AK$2)+(AL79*$AL$2)+(AM79*$AM$2)+(AN79*$AN$2)+(AO79*$AO$2)+(AP79*$AP$2)+(AQ79*$AQ$2)+(AR79*$AR$2)+(AS79*$AS$2)+(AT79*$AT$2)+(AU79*$AU$2)+(AV79*$AV$2)+(AW79*$AW$2))</f>
        <v>140</v>
      </c>
      <c r="G79" s="8" t="s">
        <v>38</v>
      </c>
      <c r="H79" s="9"/>
      <c r="I79" s="9"/>
      <c r="J79" s="9"/>
      <c r="K79" s="93">
        <f>+F79-I79+J79-H79</f>
        <v>140</v>
      </c>
      <c r="L79" s="64">
        <v>140</v>
      </c>
      <c r="M79" s="253">
        <f>+K79-L79</f>
        <v>0</v>
      </c>
      <c r="N79" s="253" t="s">
        <v>545</v>
      </c>
      <c r="O79" s="253">
        <v>140</v>
      </c>
      <c r="P79" s="253">
        <f>+L79-O79</f>
        <v>0</v>
      </c>
      <c r="Q79" s="271" t="s">
        <v>277</v>
      </c>
      <c r="R79" s="5"/>
      <c r="S79" s="8"/>
      <c r="T79" s="8"/>
      <c r="U79" s="8"/>
      <c r="V79" s="8"/>
      <c r="W79" s="8"/>
      <c r="X79" s="8"/>
      <c r="Y79" s="8"/>
      <c r="Z79" s="8">
        <v>1</v>
      </c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194">
        <f>IF($G79="Youth 0-3",1,0)</f>
        <v>0</v>
      </c>
      <c r="AY79" s="194">
        <f>IF($G79="Youth 4-11",1,0)</f>
        <v>0</v>
      </c>
      <c r="AZ79" s="194">
        <f>IF($G79="Youth 12-15",1,0)</f>
        <v>0</v>
      </c>
      <c r="BA79" s="194">
        <f>IF($G79="Addict",1,0)</f>
        <v>1</v>
      </c>
      <c r="BB79" s="194">
        <f>IF($G79="Non-Addict",1,0)</f>
        <v>0</v>
      </c>
      <c r="BC79" s="194">
        <f>IF($G79="Free Reg Certificate",1,0)</f>
        <v>0</v>
      </c>
      <c r="BD79" s="194">
        <f>IF($G79="Newcomer",1,0)</f>
        <v>0</v>
      </c>
      <c r="BE79" s="194">
        <f>IF($G79="Committee",1,0)</f>
        <v>0</v>
      </c>
      <c r="BF79" s="194">
        <f>IF($G79="Treatment",1,0)</f>
        <v>0</v>
      </c>
      <c r="BG79" s="194">
        <f>IF($G79="Meeting Sponsored",1,0)</f>
        <v>0</v>
      </c>
      <c r="BH79" s="194">
        <f>IF($G79="Programming",1,0)</f>
        <v>0</v>
      </c>
      <c r="BI79" s="194">
        <f>IF($G79="Hardship",1,0)</f>
        <v>0</v>
      </c>
      <c r="BJ79" s="194">
        <f>IF($G79="Refund",1,0)</f>
        <v>0</v>
      </c>
      <c r="BK79" s="194">
        <f>IF($G79="Vermilion Bucks",1,0)</f>
        <v>0</v>
      </c>
      <c r="BL79" s="194">
        <f>IF($G79="Other",1,0)</f>
        <v>0</v>
      </c>
      <c r="BM79" s="286"/>
      <c r="BN79" s="286"/>
      <c r="BO79" s="286">
        <f>SUM(AX79:BL79)</f>
        <v>1</v>
      </c>
      <c r="BP79" s="287">
        <f>SUM(R79:AW79)</f>
        <v>1</v>
      </c>
      <c r="BQ79" s="287">
        <f>+BO79+BP79</f>
        <v>2</v>
      </c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</row>
    <row r="80" spans="1:85" s="7" customFormat="1" ht="10.199999999999999" customHeight="1" x14ac:dyDescent="0.2">
      <c r="A80" s="189" t="s">
        <v>277</v>
      </c>
      <c r="B80" s="187" t="s">
        <v>278</v>
      </c>
      <c r="C80" s="5"/>
      <c r="D80" s="6"/>
      <c r="E80" s="284">
        <f>IF($D80 = 0,0,DATEDIF($D80,$D$7,"D"))</f>
        <v>0</v>
      </c>
      <c r="F80" s="193">
        <f>((R80*$R$2)+(S80*$S$2)+(T80*$T$2)++(U80*$U$2)++(V80*$V$2)++(W80*$W$2)++(X80*$X$2)++(Y80*$Y$2)+(Z80*$Z$2)+(AA80*$AA$2)+(AB80*$AB$2)+(AC80*$AC$2)+(AD80*$AD$2)+(AE80*$AE$2)+(AF80*$AF$2)+(AG80*$AG$2)+(AH80*$AH$2)+(AI80*$AI$2)+(AJ80*$AJ$2)+(AK80*$AK$2)+(AL80*$AL$2)+(AM80*$AM$2)+(AN80*$AN$2)+(AO80*$AO$2)+(AP80*$AP$2)+(AQ80*$AQ$2)+(AR80*$AR$2)+(AS80*$AS$2)+(AT80*$AT$2)+(AU80*$AU$2)+(AV80*$AV$2)+(AW80*$AW$2))</f>
        <v>140</v>
      </c>
      <c r="G80" s="8" t="s">
        <v>38</v>
      </c>
      <c r="H80" s="9"/>
      <c r="I80" s="9"/>
      <c r="J80" s="9"/>
      <c r="K80" s="93">
        <f>+F80-I80+J80-H80</f>
        <v>140</v>
      </c>
      <c r="L80" s="64">
        <v>140</v>
      </c>
      <c r="M80" s="253">
        <f>+K80-L80</f>
        <v>0</v>
      </c>
      <c r="N80" s="253" t="s">
        <v>545</v>
      </c>
      <c r="O80" s="253">
        <v>140</v>
      </c>
      <c r="P80" s="253">
        <f>+L80-O80</f>
        <v>0</v>
      </c>
      <c r="Q80" s="271" t="s">
        <v>277</v>
      </c>
      <c r="R80" s="5"/>
      <c r="S80" s="8"/>
      <c r="T80" s="8"/>
      <c r="U80" s="8"/>
      <c r="V80" s="8"/>
      <c r="W80" s="8"/>
      <c r="X80" s="8"/>
      <c r="Y80" s="8"/>
      <c r="Z80" s="8">
        <v>1</v>
      </c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194">
        <f>IF($G80="Youth 0-3",1,0)</f>
        <v>0</v>
      </c>
      <c r="AY80" s="194">
        <f>IF($G80="Youth 4-11",1,0)</f>
        <v>0</v>
      </c>
      <c r="AZ80" s="194">
        <f>IF($G80="Youth 12-15",1,0)</f>
        <v>0</v>
      </c>
      <c r="BA80" s="194">
        <f>IF($G80="Addict",1,0)</f>
        <v>1</v>
      </c>
      <c r="BB80" s="194">
        <f>IF($G80="Non-Addict",1,0)</f>
        <v>0</v>
      </c>
      <c r="BC80" s="194">
        <f>IF($G80="Free Reg Certificate",1,0)</f>
        <v>0</v>
      </c>
      <c r="BD80" s="194">
        <f>IF($G80="Newcomer",1,0)</f>
        <v>0</v>
      </c>
      <c r="BE80" s="194">
        <f>IF($G80="Committee",1,0)</f>
        <v>0</v>
      </c>
      <c r="BF80" s="194">
        <f>IF($G80="Treatment",1,0)</f>
        <v>0</v>
      </c>
      <c r="BG80" s="194">
        <f>IF($G80="Meeting Sponsored",1,0)</f>
        <v>0</v>
      </c>
      <c r="BH80" s="194">
        <f>IF($G80="Programming",1,0)</f>
        <v>0</v>
      </c>
      <c r="BI80" s="194">
        <f>IF($G80="Hardship",1,0)</f>
        <v>0</v>
      </c>
      <c r="BJ80" s="194">
        <f>IF($G80="Refund",1,0)</f>
        <v>0</v>
      </c>
      <c r="BK80" s="194">
        <f>IF($G80="Vermilion Bucks",1,0)</f>
        <v>0</v>
      </c>
      <c r="BL80" s="194">
        <f>IF($G80="Other",1,0)</f>
        <v>0</v>
      </c>
      <c r="BM80" s="286"/>
      <c r="BN80" s="286"/>
      <c r="BO80" s="286">
        <f>SUM(AX80:BL80)</f>
        <v>1</v>
      </c>
      <c r="BP80" s="287">
        <f>SUM(R80:AW80)</f>
        <v>1</v>
      </c>
      <c r="BQ80" s="287">
        <f>+BO80+BP80</f>
        <v>2</v>
      </c>
    </row>
    <row r="81" spans="1:85" s="7" customFormat="1" x14ac:dyDescent="0.2">
      <c r="A81" s="182" t="s">
        <v>205</v>
      </c>
      <c r="B81" s="186" t="s">
        <v>206</v>
      </c>
      <c r="C81" s="5">
        <v>100</v>
      </c>
      <c r="D81" s="6">
        <v>42657</v>
      </c>
      <c r="E81" s="284">
        <f>IF($D81 = 0,0,DATEDIF($D81,$D$7,"D"))</f>
        <v>1793</v>
      </c>
      <c r="F81" s="193">
        <f>((R81*$R$2)+(S81*$S$2)+(T81*$T$2)++(U81*$U$2)++(V81*$V$2)++(W81*$W$2)++(X81*$X$2)++(Y81*$Y$2)+(Z81*$Z$2)+(AA81*$AA$2)+(AB81*$AB$2)+(AC81*$AC$2)+(AD81*$AD$2)+(AE81*$AE$2)+(AF81*$AF$2)+(AG81*$AG$2)+(AH81*$AH$2)+(AI81*$AI$2)+(AJ81*$AJ$2)+(AK81*$AK$2)+(AL81*$AL$2)+(AM81*$AM$2)+(AN81*$AN$2)+(AO81*$AO$2)+(AP81*$AP$2)+(AQ81*$AQ$2)+(AR81*$AR$2)+(AS81*$AS$2)+(AT81*$AT$2)+(AU81*$AU$2)+(AV81*$AV$2)+(AW81*$AW$2))</f>
        <v>160</v>
      </c>
      <c r="G81" s="8" t="s">
        <v>6</v>
      </c>
      <c r="H81" s="9">
        <v>25</v>
      </c>
      <c r="I81" s="9"/>
      <c r="J81" s="9">
        <v>25</v>
      </c>
      <c r="K81" s="93">
        <f>+F81-I81+J81-H81</f>
        <v>160</v>
      </c>
      <c r="L81" s="64">
        <v>160</v>
      </c>
      <c r="M81" s="253">
        <f>+K81-L81</f>
        <v>0</v>
      </c>
      <c r="N81" s="253" t="s">
        <v>548</v>
      </c>
      <c r="O81" s="253">
        <v>160</v>
      </c>
      <c r="P81" s="253">
        <f>+L81-O81</f>
        <v>0</v>
      </c>
      <c r="Q81" s="271" t="s">
        <v>205</v>
      </c>
      <c r="R81" s="5"/>
      <c r="S81" s="8"/>
      <c r="T81" s="8"/>
      <c r="U81" s="8"/>
      <c r="V81" s="8">
        <v>1</v>
      </c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194">
        <f>IF($G81="Youth 0-3",1,0)</f>
        <v>0</v>
      </c>
      <c r="AY81" s="194">
        <f>IF($G81="Youth 4-11",1,0)</f>
        <v>0</v>
      </c>
      <c r="AZ81" s="194">
        <f>IF($G81="Youth 12-15",1,0)</f>
        <v>0</v>
      </c>
      <c r="BA81" s="194">
        <f>IF($G81="Addict",1,0)</f>
        <v>0</v>
      </c>
      <c r="BB81" s="194">
        <f>IF($G81="Non-Addict",1,0)</f>
        <v>0</v>
      </c>
      <c r="BC81" s="194">
        <f>IF($G81="Free Reg Certificate",1,0)</f>
        <v>0</v>
      </c>
      <c r="BD81" s="194">
        <f>IF($G81="Newcomer",1,0)</f>
        <v>0</v>
      </c>
      <c r="BE81" s="194">
        <f>IF($G81="Committee",1,0)</f>
        <v>1</v>
      </c>
      <c r="BF81" s="194">
        <f>IF($G81="Treatment",1,0)</f>
        <v>0</v>
      </c>
      <c r="BG81" s="194">
        <f>IF($G81="Meeting Sponsored",1,0)</f>
        <v>0</v>
      </c>
      <c r="BH81" s="194">
        <f>IF($G81="Programming",1,0)</f>
        <v>0</v>
      </c>
      <c r="BI81" s="194">
        <f>IF($G81="Hardship",1,0)</f>
        <v>0</v>
      </c>
      <c r="BJ81" s="194">
        <f>IF($G81="Refund",1,0)</f>
        <v>0</v>
      </c>
      <c r="BK81" s="194">
        <f>IF($G81="Vermilion Bucks",1,0)</f>
        <v>0</v>
      </c>
      <c r="BL81" s="194">
        <f>IF($G81="Other",1,0)</f>
        <v>0</v>
      </c>
      <c r="BM81" s="286"/>
      <c r="BN81" s="286"/>
      <c r="BO81" s="286">
        <f>SUM(AX81:BL81)</f>
        <v>1</v>
      </c>
      <c r="BP81" s="287">
        <f>SUM(R81:AW81)</f>
        <v>1</v>
      </c>
      <c r="BQ81" s="287">
        <f>+BO81+BP81</f>
        <v>2</v>
      </c>
    </row>
    <row r="82" spans="1:85" s="7" customFormat="1" x14ac:dyDescent="0.2">
      <c r="A82" s="297" t="s">
        <v>527</v>
      </c>
      <c r="B82" s="177" t="s">
        <v>256</v>
      </c>
      <c r="C82" s="5">
        <v>208</v>
      </c>
      <c r="D82" s="6">
        <v>44243</v>
      </c>
      <c r="E82" s="284">
        <f>IF($D82 = 0,0,DATEDIF($D82,$D$7,"D"))</f>
        <v>207</v>
      </c>
      <c r="F82" s="193">
        <f>((R82*$R$2)+(S82*$S$2)+(T82*$T$2)++(U82*$U$2)++(V82*$V$2)++(W82*$W$2)++(X82*$X$2)++(Y82*$Y$2)+(Z82*$Z$2)+(AA82*$AA$2)+(AB82*$AB$2)+(AC82*$AC$2)+(AD82*$AD$2)+(AE82*$AE$2)+(AF82*$AF$2)+(AG82*$AG$2)+(AH82*$AH$2)+(AI82*$AI$2)+(AJ82*$AJ$2)+(AK82*$AK$2)+(AL82*$AL$2)+(AM82*$AM$2)+(AN82*$AN$2)+(AO82*$AO$2)+(AP82*$AP$2)+(AQ82*$AQ$2)+(AR82*$AR$2)+(AS82*$AS$2)+(AT82*$AT$2)+(AU82*$AU$2)+(AV82*$AV$2)+(AW82*$AW$2))</f>
        <v>140</v>
      </c>
      <c r="G82" s="8" t="s">
        <v>38</v>
      </c>
      <c r="H82" s="9"/>
      <c r="I82" s="9"/>
      <c r="J82" s="9"/>
      <c r="K82" s="93">
        <f>+F82-I82+J82-H82</f>
        <v>140</v>
      </c>
      <c r="L82" s="64">
        <v>140</v>
      </c>
      <c r="M82" s="253">
        <f>+K82-L82</f>
        <v>0</v>
      </c>
      <c r="N82" s="253" t="s">
        <v>549</v>
      </c>
      <c r="O82" s="253"/>
      <c r="P82" s="253"/>
      <c r="Q82" s="271" t="s">
        <v>527</v>
      </c>
      <c r="R82" s="5"/>
      <c r="S82" s="8"/>
      <c r="T82" s="8"/>
      <c r="U82" s="8"/>
      <c r="V82" s="8"/>
      <c r="W82" s="8"/>
      <c r="X82" s="8"/>
      <c r="Y82" s="8"/>
      <c r="Z82" s="8">
        <v>1</v>
      </c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194">
        <f>IF($G82="Youth 0-3",1,0)</f>
        <v>0</v>
      </c>
      <c r="AY82" s="194">
        <f>IF($G82="Youth 4-11",1,0)</f>
        <v>0</v>
      </c>
      <c r="AZ82" s="194">
        <f>IF($G82="Youth 12-15",1,0)</f>
        <v>0</v>
      </c>
      <c r="BA82" s="194">
        <f>IF($G82="Addict",1,0)</f>
        <v>1</v>
      </c>
      <c r="BB82" s="194">
        <f>IF($G82="Non-Addict",1,0)</f>
        <v>0</v>
      </c>
      <c r="BC82" s="194">
        <f>IF($G82="Free Reg Certificate",1,0)</f>
        <v>0</v>
      </c>
      <c r="BD82" s="194">
        <f>IF($G82="Newcomer",1,0)</f>
        <v>0</v>
      </c>
      <c r="BE82" s="194">
        <f>IF($G82="Committee",1,0)</f>
        <v>0</v>
      </c>
      <c r="BF82" s="194">
        <f>IF($G82="Treatment",1,0)</f>
        <v>0</v>
      </c>
      <c r="BG82" s="194">
        <f>IF($G82="Meeting Sponsored",1,0)</f>
        <v>0</v>
      </c>
      <c r="BH82" s="194">
        <f>IF($G82="Programming",1,0)</f>
        <v>0</v>
      </c>
      <c r="BI82" s="194">
        <f>IF($G82="Hardship",1,0)</f>
        <v>0</v>
      </c>
      <c r="BJ82" s="194">
        <f>IF($G82="Refund",1,0)</f>
        <v>0</v>
      </c>
      <c r="BK82" s="194">
        <f>IF($G82="Vermilion Bucks",1,0)</f>
        <v>0</v>
      </c>
      <c r="BL82" s="194">
        <f>IF($G82="Other",1,0)</f>
        <v>0</v>
      </c>
      <c r="BM82" s="286"/>
      <c r="BN82" s="286"/>
      <c r="BO82" s="286">
        <f>SUM(AX82:BL82)</f>
        <v>1</v>
      </c>
      <c r="BP82" s="287">
        <f>SUM(R82:AW82)</f>
        <v>1</v>
      </c>
      <c r="BQ82" s="287">
        <f>+BO82+BP82</f>
        <v>2</v>
      </c>
    </row>
    <row r="83" spans="1:85" s="7" customFormat="1" x14ac:dyDescent="0.2">
      <c r="A83" s="189" t="s">
        <v>286</v>
      </c>
      <c r="B83" s="187" t="s">
        <v>287</v>
      </c>
      <c r="C83" s="5">
        <v>232</v>
      </c>
      <c r="D83" s="6">
        <v>43854</v>
      </c>
      <c r="E83" s="284">
        <f>IF($D83 = 0,0,DATEDIF($D83,$D$7,"D"))</f>
        <v>596</v>
      </c>
      <c r="F83" s="193">
        <f>((R83*$R$2)+(S83*$S$2)+(T83*$T$2)++(U83*$U$2)++(V83*$V$2)++(W83*$W$2)++(X83*$X$2)++(Y83*$Y$2)+(Z83*$Z$2)+(AA83*$AA$2)+(AB83*$AB$2)+(AC83*$AC$2)+(AD83*$AD$2)+(AE83*$AE$2)+(AF83*$AF$2)+(AG83*$AG$2)+(AH83*$AH$2)+(AI83*$AI$2)+(AJ83*$AJ$2)+(AK83*$AK$2)+(AL83*$AL$2)+(AM83*$AM$2)+(AN83*$AN$2)+(AO83*$AO$2)+(AP83*$AP$2)+(AQ83*$AQ$2)+(AR83*$AR$2)+(AS83*$AS$2)+(AT83*$AT$2)+(AU83*$AU$2)+(AV83*$AV$2)+(AW83*$AW$2))</f>
        <v>130</v>
      </c>
      <c r="G83" s="8" t="s">
        <v>38</v>
      </c>
      <c r="H83" s="9"/>
      <c r="I83" s="9"/>
      <c r="J83" s="9"/>
      <c r="K83" s="93">
        <f>+F83-I83+J83-H83</f>
        <v>130</v>
      </c>
      <c r="L83" s="64">
        <v>130</v>
      </c>
      <c r="M83" s="253">
        <f>+K83-L83</f>
        <v>0</v>
      </c>
      <c r="N83" s="253" t="s">
        <v>548</v>
      </c>
      <c r="O83" s="253">
        <v>130</v>
      </c>
      <c r="P83" s="253">
        <f>+L83-O83</f>
        <v>0</v>
      </c>
      <c r="Q83" s="271" t="s">
        <v>286</v>
      </c>
      <c r="R83" s="5"/>
      <c r="S83" s="8"/>
      <c r="T83" s="8"/>
      <c r="U83" s="8"/>
      <c r="V83" s="8"/>
      <c r="W83" s="8"/>
      <c r="X83" s="8"/>
      <c r="Y83" s="8"/>
      <c r="Z83" s="8"/>
      <c r="AA83" s="8">
        <v>1</v>
      </c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194">
        <f>IF($G83="Youth 0-3",1,0)</f>
        <v>0</v>
      </c>
      <c r="AY83" s="194">
        <f>IF($G83="Youth 4-11",1,0)</f>
        <v>0</v>
      </c>
      <c r="AZ83" s="194">
        <f>IF($G83="Youth 12-15",1,0)</f>
        <v>0</v>
      </c>
      <c r="BA83" s="194">
        <f>IF($G83="Addict",1,0)</f>
        <v>1</v>
      </c>
      <c r="BB83" s="194">
        <f>IF($G83="Non-Addict",1,0)</f>
        <v>0</v>
      </c>
      <c r="BC83" s="194">
        <f>IF($G83="Free Reg Certificate",1,0)</f>
        <v>0</v>
      </c>
      <c r="BD83" s="194">
        <f>IF($G83="Newcomer",1,0)</f>
        <v>0</v>
      </c>
      <c r="BE83" s="194">
        <f>IF($G83="Committee",1,0)</f>
        <v>0</v>
      </c>
      <c r="BF83" s="194">
        <f>IF($G83="Treatment",1,0)</f>
        <v>0</v>
      </c>
      <c r="BG83" s="194">
        <f>IF($G83="Meeting Sponsored",1,0)</f>
        <v>0</v>
      </c>
      <c r="BH83" s="194">
        <f>IF($G83="Programming",1,0)</f>
        <v>0</v>
      </c>
      <c r="BI83" s="194">
        <f>IF($G83="Hardship",1,0)</f>
        <v>0</v>
      </c>
      <c r="BJ83" s="194">
        <f>IF($G83="Refund",1,0)</f>
        <v>0</v>
      </c>
      <c r="BK83" s="194">
        <f>IF($G83="Vermilion Bucks",1,0)</f>
        <v>0</v>
      </c>
      <c r="BL83" s="194">
        <f>IF($G83="Other",1,0)</f>
        <v>0</v>
      </c>
      <c r="BM83" s="286"/>
      <c r="BN83" s="286"/>
      <c r="BO83" s="286">
        <f>SUM(AX83:BL83)</f>
        <v>1</v>
      </c>
      <c r="BP83" s="287">
        <f>SUM(R83:AW83)</f>
        <v>1</v>
      </c>
      <c r="BQ83" s="287">
        <f>+BO83+BP83</f>
        <v>2</v>
      </c>
    </row>
    <row r="84" spans="1:85" s="7" customFormat="1" ht="10.199999999999999" customHeight="1" x14ac:dyDescent="0.2">
      <c r="A84" s="182" t="s">
        <v>417</v>
      </c>
      <c r="B84" s="177" t="s">
        <v>251</v>
      </c>
      <c r="C84" s="5">
        <v>265</v>
      </c>
      <c r="D84" s="6">
        <v>43254</v>
      </c>
      <c r="E84" s="284">
        <f>IF($D84 = 0,0,DATEDIF($D84,$D$7,"D"))</f>
        <v>1196</v>
      </c>
      <c r="F84" s="193">
        <f>((R84*$R$2)+(S84*$S$2)+(T84*$T$2)++(U84*$U$2)++(V84*$V$2)++(W84*$W$2)++(X84*$X$2)++(Y84*$Y$2)+(Z84*$Z$2)+(AA84*$AA$2)+(AB84*$AB$2)+(AC84*$AC$2)+(AD84*$AD$2)+(AE84*$AE$2)+(AF84*$AF$2)+(AG84*$AG$2)+(AH84*$AH$2)+(AI84*$AI$2)+(AJ84*$AJ$2)+(AK84*$AK$2)+(AL84*$AL$2)+(AM84*$AM$2)+(AN84*$AN$2)+(AO84*$AO$2)+(AP84*$AP$2)+(AQ84*$AQ$2)+(AR84*$AR$2)+(AS84*$AS$2)+(AT84*$AT$2)+(AU84*$AU$2)+(AV84*$AV$2)+(AW84*$AW$2))</f>
        <v>160</v>
      </c>
      <c r="G84" s="8" t="s">
        <v>38</v>
      </c>
      <c r="H84" s="9"/>
      <c r="I84" s="9"/>
      <c r="J84" s="9"/>
      <c r="K84" s="93">
        <f>+F84-I84+J84-H84</f>
        <v>160</v>
      </c>
      <c r="L84" s="64">
        <v>160</v>
      </c>
      <c r="M84" s="253">
        <f>+K84-L84</f>
        <v>0</v>
      </c>
      <c r="N84" s="253" t="s">
        <v>548</v>
      </c>
      <c r="O84" s="253">
        <v>160</v>
      </c>
      <c r="P84" s="253">
        <f>+L84-O84</f>
        <v>0</v>
      </c>
      <c r="Q84" s="270" t="s">
        <v>250</v>
      </c>
      <c r="R84" s="5"/>
      <c r="S84" s="8"/>
      <c r="T84" s="8"/>
      <c r="U84" s="8"/>
      <c r="V84" s="8"/>
      <c r="W84" s="8"/>
      <c r="X84" s="8">
        <v>1</v>
      </c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194">
        <f>IF($G84="Youth 0-3",1,0)</f>
        <v>0</v>
      </c>
      <c r="AY84" s="194">
        <f>IF($G84="Youth 4-11",1,0)</f>
        <v>0</v>
      </c>
      <c r="AZ84" s="194">
        <f>IF($G84="Youth 12-15",1,0)</f>
        <v>0</v>
      </c>
      <c r="BA84" s="194">
        <f>IF($G84="Addict",1,0)</f>
        <v>1</v>
      </c>
      <c r="BB84" s="194">
        <f>IF($G84="Non-Addict",1,0)</f>
        <v>0</v>
      </c>
      <c r="BC84" s="194">
        <f>IF($G84="Free Reg Certificate",1,0)</f>
        <v>0</v>
      </c>
      <c r="BD84" s="194">
        <f>IF($G84="Newcomer",1,0)</f>
        <v>0</v>
      </c>
      <c r="BE84" s="194">
        <f>IF($G84="Committee",1,0)</f>
        <v>0</v>
      </c>
      <c r="BF84" s="194">
        <f>IF($G84="Treatment",1,0)</f>
        <v>0</v>
      </c>
      <c r="BG84" s="194">
        <f>IF($G84="Meeting Sponsored",1,0)</f>
        <v>0</v>
      </c>
      <c r="BH84" s="194">
        <f>IF($G84="Programming",1,0)</f>
        <v>0</v>
      </c>
      <c r="BI84" s="194">
        <f>IF($G84="Hardship",1,0)</f>
        <v>0</v>
      </c>
      <c r="BJ84" s="194">
        <f>IF($G84="Refund",1,0)</f>
        <v>0</v>
      </c>
      <c r="BK84" s="194">
        <f>IF($G84="Vermilion Bucks",1,0)</f>
        <v>0</v>
      </c>
      <c r="BL84" s="194">
        <f>IF($G84="Other",1,0)</f>
        <v>0</v>
      </c>
      <c r="BM84" s="286"/>
      <c r="BN84" s="286"/>
      <c r="BO84" s="286">
        <f>SUM(AX84:BL84)</f>
        <v>1</v>
      </c>
      <c r="BP84" s="287">
        <f>SUM(R84:AW84)</f>
        <v>1</v>
      </c>
      <c r="BQ84" s="287">
        <f>+BO84+BP84</f>
        <v>2</v>
      </c>
    </row>
    <row r="85" spans="1:85" s="7" customFormat="1" x14ac:dyDescent="0.2">
      <c r="A85" s="182" t="s">
        <v>250</v>
      </c>
      <c r="B85" s="177" t="s">
        <v>251</v>
      </c>
      <c r="C85" s="5">
        <v>265</v>
      </c>
      <c r="D85" s="6">
        <v>43752</v>
      </c>
      <c r="E85" s="284">
        <f>IF($D85 = 0,0,DATEDIF($D85,$D$7,"D"))</f>
        <v>698</v>
      </c>
      <c r="F85" s="193">
        <f>((R85*$R$2)+(S85*$S$2)+(T85*$T$2)++(U85*$U$2)++(V85*$V$2)++(W85*$W$2)++(X85*$X$2)++(Y85*$Y$2)+(Z85*$Z$2)+(AA85*$AA$2)+(AB85*$AB$2)+(AC85*$AC$2)+(AD85*$AD$2)+(AE85*$AE$2)+(AF85*$AF$2)+(AG85*$AG$2)+(AH85*$AH$2)+(AI85*$AI$2)+(AJ85*$AJ$2)+(AK85*$AK$2)+(AL85*$AL$2)+(AM85*$AM$2)+(AN85*$AN$2)+(AO85*$AO$2)+(AP85*$AP$2)+(AQ85*$AQ$2)+(AR85*$AR$2)+(AS85*$AS$2)+(AT85*$AT$2)+(AU85*$AU$2)+(AV85*$AV$2)+(AW85*$AW$2))</f>
        <v>160</v>
      </c>
      <c r="G85" s="8" t="s">
        <v>38</v>
      </c>
      <c r="H85" s="9"/>
      <c r="I85" s="9"/>
      <c r="J85" s="9"/>
      <c r="K85" s="93">
        <f>+F85-I85+J85-H85</f>
        <v>160</v>
      </c>
      <c r="L85" s="64">
        <v>160</v>
      </c>
      <c r="M85" s="253">
        <f>+K85-L85</f>
        <v>0</v>
      </c>
      <c r="N85" s="253" t="s">
        <v>548</v>
      </c>
      <c r="O85" s="253">
        <v>160</v>
      </c>
      <c r="P85" s="253">
        <f>+L85-O85</f>
        <v>0</v>
      </c>
      <c r="Q85" s="270" t="s">
        <v>250</v>
      </c>
      <c r="R85" s="5"/>
      <c r="S85" s="8"/>
      <c r="T85" s="8"/>
      <c r="U85" s="8"/>
      <c r="V85" s="8"/>
      <c r="W85" s="8"/>
      <c r="X85" s="8">
        <v>1</v>
      </c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194">
        <f>IF($G85="Youth 0-3",1,0)</f>
        <v>0</v>
      </c>
      <c r="AY85" s="194">
        <f>IF($G85="Youth 4-11",1,0)</f>
        <v>0</v>
      </c>
      <c r="AZ85" s="194">
        <f>IF($G85="Youth 12-15",1,0)</f>
        <v>0</v>
      </c>
      <c r="BA85" s="194">
        <f>IF($G85="Addict",1,0)</f>
        <v>1</v>
      </c>
      <c r="BB85" s="194">
        <f>IF($G85="Non-Addict",1,0)</f>
        <v>0</v>
      </c>
      <c r="BC85" s="194">
        <f>IF($G85="Free Reg Certificate",1,0)</f>
        <v>0</v>
      </c>
      <c r="BD85" s="194">
        <f>IF($G85="Newcomer",1,0)</f>
        <v>0</v>
      </c>
      <c r="BE85" s="194">
        <f>IF($G85="Committee",1,0)</f>
        <v>0</v>
      </c>
      <c r="BF85" s="194">
        <f>IF($G85="Treatment",1,0)</f>
        <v>0</v>
      </c>
      <c r="BG85" s="194">
        <f>IF($G85="Meeting Sponsored",1,0)</f>
        <v>0</v>
      </c>
      <c r="BH85" s="194">
        <f>IF($G85="Programming",1,0)</f>
        <v>0</v>
      </c>
      <c r="BI85" s="194">
        <f>IF($G85="Hardship",1,0)</f>
        <v>0</v>
      </c>
      <c r="BJ85" s="194">
        <f>IF($G85="Refund",1,0)</f>
        <v>0</v>
      </c>
      <c r="BK85" s="194">
        <f>IF($G85="Vermilion Bucks",1,0)</f>
        <v>0</v>
      </c>
      <c r="BL85" s="194">
        <f>IF($G85="Other",1,0)</f>
        <v>0</v>
      </c>
      <c r="BM85" s="286"/>
      <c r="BN85" s="286"/>
      <c r="BO85" s="286">
        <f>SUM(AX85:BL85)</f>
        <v>1</v>
      </c>
      <c r="BP85" s="287">
        <f>SUM(R85:AW85)</f>
        <v>1</v>
      </c>
      <c r="BQ85" s="287">
        <f>+BO85+BP85</f>
        <v>2</v>
      </c>
    </row>
    <row r="86" spans="1:85" s="7" customFormat="1" ht="10.199999999999999" customHeight="1" x14ac:dyDescent="0.2">
      <c r="A86" s="182" t="s">
        <v>257</v>
      </c>
      <c r="B86" s="177" t="s">
        <v>258</v>
      </c>
      <c r="C86" s="5"/>
      <c r="D86" s="6"/>
      <c r="E86" s="284">
        <f>IF($D86 = 0,0,DATEDIF($D86,$D$7,"D"))</f>
        <v>0</v>
      </c>
      <c r="F86" s="193">
        <f>((R86*$R$2)+(S86*$S$2)+(T86*$T$2)++(U86*$U$2)++(V86*$V$2)++(W86*$W$2)++(X86*$X$2)++(Y86*$Y$2)+(Z86*$Z$2)+(AA86*$AA$2)+(AB86*$AB$2)+(AC86*$AC$2)+(AD86*$AD$2)+(AE86*$AE$2)+(AF86*$AF$2)+(AG86*$AG$2)+(AH86*$AH$2)+(AI86*$AI$2)+(AJ86*$AJ$2)+(AK86*$AK$2)+(AL86*$AL$2)+(AM86*$AM$2)+(AN86*$AN$2)+(AO86*$AO$2)+(AP86*$AP$2)+(AQ86*$AQ$2)+(AR86*$AR$2)+(AS86*$AS$2)+(AT86*$AT$2)+(AU86*$AU$2)+(AV86*$AV$2)+(AW86*$AW$2))</f>
        <v>140</v>
      </c>
      <c r="G86" s="8" t="s">
        <v>38</v>
      </c>
      <c r="H86" s="9"/>
      <c r="I86" s="9"/>
      <c r="J86" s="9"/>
      <c r="K86" s="93">
        <f>+F86-I86+J86-H86</f>
        <v>140</v>
      </c>
      <c r="L86" s="64">
        <v>140</v>
      </c>
      <c r="M86" s="253">
        <f>+K86-L86</f>
        <v>0</v>
      </c>
      <c r="N86" s="253" t="s">
        <v>548</v>
      </c>
      <c r="O86" s="253">
        <v>140</v>
      </c>
      <c r="P86" s="253">
        <f>+L86-O86</f>
        <v>0</v>
      </c>
      <c r="Q86" s="271" t="s">
        <v>257</v>
      </c>
      <c r="R86" s="5"/>
      <c r="S86" s="8"/>
      <c r="T86" s="8"/>
      <c r="U86" s="8"/>
      <c r="V86" s="8"/>
      <c r="W86" s="8"/>
      <c r="X86" s="8"/>
      <c r="Y86" s="8"/>
      <c r="Z86" s="8">
        <v>1</v>
      </c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194">
        <f>IF($G86="Youth 0-3",1,0)</f>
        <v>0</v>
      </c>
      <c r="AY86" s="194">
        <f>IF($G86="Youth 4-11",1,0)</f>
        <v>0</v>
      </c>
      <c r="AZ86" s="194">
        <f>IF($G86="Youth 12-15",1,0)</f>
        <v>0</v>
      </c>
      <c r="BA86" s="194">
        <f>IF($G86="Addict",1,0)</f>
        <v>1</v>
      </c>
      <c r="BB86" s="194">
        <f>IF($G86="Non-Addict",1,0)</f>
        <v>0</v>
      </c>
      <c r="BC86" s="194">
        <f>IF($G86="Free Reg Certificate",1,0)</f>
        <v>0</v>
      </c>
      <c r="BD86" s="194">
        <f>IF($G86="Newcomer",1,0)</f>
        <v>0</v>
      </c>
      <c r="BE86" s="194">
        <f>IF($G86="Committee",1,0)</f>
        <v>0</v>
      </c>
      <c r="BF86" s="194">
        <f>IF($G86="Treatment",1,0)</f>
        <v>0</v>
      </c>
      <c r="BG86" s="194">
        <f>IF($G86="Meeting Sponsored",1,0)</f>
        <v>0</v>
      </c>
      <c r="BH86" s="194">
        <f>IF($G86="Programming",1,0)</f>
        <v>0</v>
      </c>
      <c r="BI86" s="194">
        <f>IF($G86="Hardship",1,0)</f>
        <v>0</v>
      </c>
      <c r="BJ86" s="194">
        <f>IF($G86="Refund",1,0)</f>
        <v>0</v>
      </c>
      <c r="BK86" s="194">
        <f>IF($G86="Vermilion Bucks",1,0)</f>
        <v>0</v>
      </c>
      <c r="BL86" s="194">
        <f>IF($G86="Other",1,0)</f>
        <v>0</v>
      </c>
      <c r="BM86" s="286"/>
      <c r="BN86" s="286"/>
      <c r="BO86" s="286">
        <f>SUM(AX86:BL86)</f>
        <v>1</v>
      </c>
      <c r="BP86" s="287">
        <f>SUM(R86:AW86)</f>
        <v>1</v>
      </c>
      <c r="BQ86" s="287">
        <f>+BO86+BP86</f>
        <v>2</v>
      </c>
    </row>
    <row r="87" spans="1:85" s="7" customFormat="1" ht="10.199999999999999" customHeight="1" x14ac:dyDescent="0.2">
      <c r="A87" s="182" t="s">
        <v>257</v>
      </c>
      <c r="B87" s="177" t="s">
        <v>258</v>
      </c>
      <c r="C87" s="5"/>
      <c r="D87" s="6"/>
      <c r="E87" s="284">
        <f>IF($D87 = 0,0,DATEDIF($D87,$D$7,"D"))</f>
        <v>0</v>
      </c>
      <c r="F87" s="193">
        <f>((R87*$R$2)+(S87*$S$2)+(T87*$T$2)++(U87*$U$2)++(V87*$V$2)++(W87*$W$2)++(X87*$X$2)++(Y87*$Y$2)+(Z87*$Z$2)+(AA87*$AA$2)+(AB87*$AB$2)+(AC87*$AC$2)+(AD87*$AD$2)+(AE87*$AE$2)+(AF87*$AF$2)+(AG87*$AG$2)+(AH87*$AH$2)+(AI87*$AI$2)+(AJ87*$AJ$2)+(AK87*$AK$2)+(AL87*$AL$2)+(AM87*$AM$2)+(AN87*$AN$2)+(AO87*$AO$2)+(AP87*$AP$2)+(AQ87*$AQ$2)+(AR87*$AR$2)+(AS87*$AS$2)+(AT87*$AT$2)+(AU87*$AU$2)+(AV87*$AV$2)+(AW87*$AW$2))</f>
        <v>140</v>
      </c>
      <c r="G87" s="8" t="s">
        <v>38</v>
      </c>
      <c r="H87" s="9"/>
      <c r="I87" s="9"/>
      <c r="J87" s="9"/>
      <c r="K87" s="93">
        <f>+F87-I87+J87-H87</f>
        <v>140</v>
      </c>
      <c r="L87" s="64">
        <v>140</v>
      </c>
      <c r="M87" s="253">
        <f>+K87-L87</f>
        <v>0</v>
      </c>
      <c r="N87" s="253" t="s">
        <v>548</v>
      </c>
      <c r="O87" s="253">
        <v>140</v>
      </c>
      <c r="P87" s="253">
        <f>+L87-O87</f>
        <v>0</v>
      </c>
      <c r="Q87" s="271" t="s">
        <v>257</v>
      </c>
      <c r="R87" s="5"/>
      <c r="S87" s="8"/>
      <c r="T87" s="8"/>
      <c r="U87" s="8"/>
      <c r="V87" s="8"/>
      <c r="W87" s="8"/>
      <c r="X87" s="8"/>
      <c r="Y87" s="8"/>
      <c r="Z87" s="8">
        <v>1</v>
      </c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194">
        <f>IF($G87="Youth 0-3",1,0)</f>
        <v>0</v>
      </c>
      <c r="AY87" s="194">
        <f>IF($G87="Youth 4-11",1,0)</f>
        <v>0</v>
      </c>
      <c r="AZ87" s="194">
        <f>IF($G87="Youth 12-15",1,0)</f>
        <v>0</v>
      </c>
      <c r="BA87" s="194">
        <f>IF($G87="Addict",1,0)</f>
        <v>1</v>
      </c>
      <c r="BB87" s="194">
        <f>IF($G87="Non-Addict",1,0)</f>
        <v>0</v>
      </c>
      <c r="BC87" s="194">
        <f>IF($G87="Free Reg Certificate",1,0)</f>
        <v>0</v>
      </c>
      <c r="BD87" s="194">
        <f>IF($G87="Newcomer",1,0)</f>
        <v>0</v>
      </c>
      <c r="BE87" s="194">
        <f>IF($G87="Committee",1,0)</f>
        <v>0</v>
      </c>
      <c r="BF87" s="194">
        <f>IF($G87="Treatment",1,0)</f>
        <v>0</v>
      </c>
      <c r="BG87" s="194">
        <f>IF($G87="Meeting Sponsored",1,0)</f>
        <v>0</v>
      </c>
      <c r="BH87" s="194">
        <f>IF($G87="Programming",1,0)</f>
        <v>0</v>
      </c>
      <c r="BI87" s="194">
        <f>IF($G87="Hardship",1,0)</f>
        <v>0</v>
      </c>
      <c r="BJ87" s="194">
        <f>IF($G87="Refund",1,0)</f>
        <v>0</v>
      </c>
      <c r="BK87" s="194">
        <f>IF($G87="Vermilion Bucks",1,0)</f>
        <v>0</v>
      </c>
      <c r="BL87" s="194">
        <f>IF($G87="Other",1,0)</f>
        <v>0</v>
      </c>
      <c r="BM87" s="286"/>
      <c r="BN87" s="286"/>
      <c r="BO87" s="286">
        <f>SUM(AX87:BL87)</f>
        <v>1</v>
      </c>
      <c r="BP87" s="287">
        <f>SUM(R87:AW87)</f>
        <v>1</v>
      </c>
      <c r="BQ87" s="287">
        <f>+BO87+BP87</f>
        <v>2</v>
      </c>
      <c r="BR87" s="241"/>
      <c r="BS87" s="241"/>
      <c r="BT87" s="241"/>
      <c r="BU87" s="241"/>
      <c r="BV87" s="241"/>
      <c r="BW87" s="241"/>
      <c r="BX87" s="241"/>
      <c r="BY87" s="241"/>
      <c r="BZ87" s="241"/>
      <c r="CA87" s="241"/>
      <c r="CB87" s="241"/>
      <c r="CC87" s="241"/>
      <c r="CD87" s="241"/>
      <c r="CE87" s="241"/>
      <c r="CF87" s="241"/>
      <c r="CG87" s="241"/>
    </row>
    <row r="88" spans="1:85" s="7" customFormat="1" ht="10.199999999999999" customHeight="1" x14ac:dyDescent="0.2">
      <c r="A88" s="182" t="s">
        <v>257</v>
      </c>
      <c r="B88" s="177" t="s">
        <v>258</v>
      </c>
      <c r="C88" s="5"/>
      <c r="D88" s="6"/>
      <c r="E88" s="284">
        <f>IF($D88 = 0,0,DATEDIF($D88,$D$7,"D"))</f>
        <v>0</v>
      </c>
      <c r="F88" s="193">
        <f>((R88*$R$2)+(S88*$S$2)+(T88*$T$2)++(U88*$U$2)++(V88*$V$2)++(W88*$W$2)++(X88*$X$2)++(Y88*$Y$2)+(Z88*$Z$2)+(AA88*$AA$2)+(AB88*$AB$2)+(AC88*$AC$2)+(AD88*$AD$2)+(AE88*$AE$2)+(AF88*$AF$2)+(AG88*$AG$2)+(AH88*$AH$2)+(AI88*$AI$2)+(AJ88*$AJ$2)+(AK88*$AK$2)+(AL88*$AL$2)+(AM88*$AM$2)+(AN88*$AN$2)+(AO88*$AO$2)+(AP88*$AP$2)+(AQ88*$AQ$2)+(AR88*$AR$2)+(AS88*$AS$2)+(AT88*$AT$2)+(AU88*$AU$2)+(AV88*$AV$2)+(AW88*$AW$2))</f>
        <v>140</v>
      </c>
      <c r="G88" s="8" t="s">
        <v>38</v>
      </c>
      <c r="H88" s="9"/>
      <c r="I88" s="9"/>
      <c r="J88" s="9"/>
      <c r="K88" s="93">
        <f>+F88-I88+J88-H88</f>
        <v>140</v>
      </c>
      <c r="L88" s="64">
        <v>140</v>
      </c>
      <c r="M88" s="253">
        <f>+K88-L88</f>
        <v>0</v>
      </c>
      <c r="N88" s="253" t="s">
        <v>548</v>
      </c>
      <c r="O88" s="253">
        <v>140</v>
      </c>
      <c r="P88" s="253">
        <f>+L88-O88</f>
        <v>0</v>
      </c>
      <c r="Q88" s="271" t="s">
        <v>257</v>
      </c>
      <c r="R88" s="5"/>
      <c r="S88" s="8"/>
      <c r="T88" s="8"/>
      <c r="U88" s="8"/>
      <c r="V88" s="8"/>
      <c r="W88" s="8"/>
      <c r="X88" s="8"/>
      <c r="Y88" s="8"/>
      <c r="Z88" s="8">
        <v>1</v>
      </c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194">
        <f>IF($G88="Youth 0-3",1,0)</f>
        <v>0</v>
      </c>
      <c r="AY88" s="194">
        <f>IF($G88="Youth 4-11",1,0)</f>
        <v>0</v>
      </c>
      <c r="AZ88" s="194">
        <f>IF($G88="Youth 12-15",1,0)</f>
        <v>0</v>
      </c>
      <c r="BA88" s="194">
        <f>IF($G88="Addict",1,0)</f>
        <v>1</v>
      </c>
      <c r="BB88" s="194">
        <f>IF($G88="Non-Addict",1,0)</f>
        <v>0</v>
      </c>
      <c r="BC88" s="194">
        <f>IF($G88="Free Reg Certificate",1,0)</f>
        <v>0</v>
      </c>
      <c r="BD88" s="194">
        <f>IF($G88="Newcomer",1,0)</f>
        <v>0</v>
      </c>
      <c r="BE88" s="194">
        <f>IF($G88="Committee",1,0)</f>
        <v>0</v>
      </c>
      <c r="BF88" s="194">
        <f>IF($G88="Treatment",1,0)</f>
        <v>0</v>
      </c>
      <c r="BG88" s="194">
        <f>IF($G88="Meeting Sponsored",1,0)</f>
        <v>0</v>
      </c>
      <c r="BH88" s="194">
        <f>IF($G88="Programming",1,0)</f>
        <v>0</v>
      </c>
      <c r="BI88" s="194">
        <f>IF($G88="Hardship",1,0)</f>
        <v>0</v>
      </c>
      <c r="BJ88" s="194">
        <f>IF($G88="Refund",1,0)</f>
        <v>0</v>
      </c>
      <c r="BK88" s="194">
        <f>IF($G88="Vermilion Bucks",1,0)</f>
        <v>0</v>
      </c>
      <c r="BL88" s="194">
        <f>IF($G88="Other",1,0)</f>
        <v>0</v>
      </c>
      <c r="BM88" s="286"/>
      <c r="BN88" s="286"/>
      <c r="BO88" s="286">
        <f>SUM(AX88:BL88)</f>
        <v>1</v>
      </c>
      <c r="BP88" s="287">
        <f>SUM(R88:AW88)</f>
        <v>1</v>
      </c>
      <c r="BQ88" s="287">
        <f>+BO88+BP88</f>
        <v>2</v>
      </c>
    </row>
    <row r="89" spans="1:85" s="7" customFormat="1" x14ac:dyDescent="0.2">
      <c r="A89" s="182" t="s">
        <v>257</v>
      </c>
      <c r="B89" s="177" t="s">
        <v>258</v>
      </c>
      <c r="C89" s="5"/>
      <c r="D89" s="6"/>
      <c r="E89" s="284">
        <f>IF($D89 = 0,0,DATEDIF($D89,$D$7,"D"))</f>
        <v>0</v>
      </c>
      <c r="F89" s="193">
        <f>((R89*$R$2)+(S89*$S$2)+(T89*$T$2)++(U89*$U$2)++(V89*$V$2)++(W89*$W$2)++(X89*$X$2)++(Y89*$Y$2)+(Z89*$Z$2)+(AA89*$AA$2)+(AB89*$AB$2)+(AC89*$AC$2)+(AD89*$AD$2)+(AE89*$AE$2)+(AF89*$AF$2)+(AG89*$AG$2)+(AH89*$AH$2)+(AI89*$AI$2)+(AJ89*$AJ$2)+(AK89*$AK$2)+(AL89*$AL$2)+(AM89*$AM$2)+(AN89*$AN$2)+(AO89*$AO$2)+(AP89*$AP$2)+(AQ89*$AQ$2)+(AR89*$AR$2)+(AS89*$AS$2)+(AT89*$AT$2)+(AU89*$AU$2)+(AV89*$AV$2)+(AW89*$AW$2))</f>
        <v>140</v>
      </c>
      <c r="G89" s="8" t="s">
        <v>38</v>
      </c>
      <c r="H89" s="9"/>
      <c r="I89" s="9"/>
      <c r="J89" s="9"/>
      <c r="K89" s="93">
        <f>+F89-I89+J89-H89</f>
        <v>140</v>
      </c>
      <c r="L89" s="64">
        <v>140</v>
      </c>
      <c r="M89" s="253">
        <f>+K89-L89</f>
        <v>0</v>
      </c>
      <c r="N89" s="253" t="s">
        <v>548</v>
      </c>
      <c r="O89" s="253">
        <v>140</v>
      </c>
      <c r="P89" s="253">
        <f>+L89-O89</f>
        <v>0</v>
      </c>
      <c r="Q89" s="271" t="s">
        <v>257</v>
      </c>
      <c r="R89" s="5"/>
      <c r="S89" s="8"/>
      <c r="T89" s="8"/>
      <c r="U89" s="8"/>
      <c r="V89" s="8"/>
      <c r="W89" s="8"/>
      <c r="X89" s="8"/>
      <c r="Y89" s="8"/>
      <c r="Z89" s="8">
        <v>1</v>
      </c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194">
        <f>IF($G89="Youth 0-3",1,0)</f>
        <v>0</v>
      </c>
      <c r="AY89" s="194">
        <f>IF($G89="Youth 4-11",1,0)</f>
        <v>0</v>
      </c>
      <c r="AZ89" s="194">
        <f>IF($G89="Youth 12-15",1,0)</f>
        <v>0</v>
      </c>
      <c r="BA89" s="194">
        <f>IF($G89="Addict",1,0)</f>
        <v>1</v>
      </c>
      <c r="BB89" s="194">
        <f>IF($G89="Non-Addict",1,0)</f>
        <v>0</v>
      </c>
      <c r="BC89" s="194">
        <f>IF($G89="Free Reg Certificate",1,0)</f>
        <v>0</v>
      </c>
      <c r="BD89" s="194">
        <f>IF($G89="Newcomer",1,0)</f>
        <v>0</v>
      </c>
      <c r="BE89" s="194">
        <f>IF($G89="Committee",1,0)</f>
        <v>0</v>
      </c>
      <c r="BF89" s="194">
        <f>IF($G89="Treatment",1,0)</f>
        <v>0</v>
      </c>
      <c r="BG89" s="194">
        <f>IF($G89="Meeting Sponsored",1,0)</f>
        <v>0</v>
      </c>
      <c r="BH89" s="194">
        <f>IF($G89="Programming",1,0)</f>
        <v>0</v>
      </c>
      <c r="BI89" s="194">
        <f>IF($G89="Hardship",1,0)</f>
        <v>0</v>
      </c>
      <c r="BJ89" s="194">
        <f>IF($G89="Refund",1,0)</f>
        <v>0</v>
      </c>
      <c r="BK89" s="194">
        <f>IF($G89="Vermilion Bucks",1,0)</f>
        <v>0</v>
      </c>
      <c r="BL89" s="194">
        <f>IF($G89="Other",1,0)</f>
        <v>0</v>
      </c>
      <c r="BM89" s="286"/>
      <c r="BN89" s="286"/>
      <c r="BO89" s="286">
        <f>SUM(AX89:BL89)</f>
        <v>1</v>
      </c>
      <c r="BP89" s="287">
        <f>SUM(R89:AW89)</f>
        <v>1</v>
      </c>
      <c r="BQ89" s="287">
        <f>+BO89+BP89</f>
        <v>2</v>
      </c>
    </row>
    <row r="90" spans="1:85" s="7" customFormat="1" x14ac:dyDescent="0.2">
      <c r="A90" s="182" t="s">
        <v>547</v>
      </c>
      <c r="B90" s="277"/>
      <c r="C90" s="277"/>
      <c r="D90" s="278"/>
      <c r="E90" s="278"/>
      <c r="F90" s="277"/>
      <c r="G90" s="277"/>
      <c r="H90" s="277"/>
      <c r="I90" s="277"/>
      <c r="J90" s="277"/>
      <c r="K90" s="277">
        <v>0</v>
      </c>
      <c r="L90" s="254">
        <v>0</v>
      </c>
      <c r="M90" s="289"/>
      <c r="N90" s="251" t="s">
        <v>548</v>
      </c>
      <c r="O90" s="251">
        <v>160</v>
      </c>
      <c r="P90" s="251">
        <f>+L90-O90</f>
        <v>-160</v>
      </c>
      <c r="Q90" s="285" t="s">
        <v>547</v>
      </c>
      <c r="R90" s="231"/>
      <c r="S90" s="232"/>
      <c r="T90" s="232"/>
      <c r="U90" s="232"/>
      <c r="V90" s="232"/>
      <c r="W90" s="232"/>
      <c r="X90" s="232"/>
      <c r="Y90" s="232"/>
      <c r="Z90" s="232"/>
      <c r="AA90" s="232"/>
      <c r="AB90" s="232"/>
      <c r="AC90" s="232"/>
      <c r="AD90" s="232"/>
      <c r="AE90" s="232"/>
      <c r="AF90" s="232"/>
      <c r="AG90" s="232"/>
      <c r="AH90" s="232"/>
      <c r="AI90" s="232"/>
      <c r="AJ90" s="232"/>
      <c r="AK90" s="232"/>
      <c r="AL90" s="232"/>
      <c r="AM90" s="232"/>
      <c r="AN90" s="232"/>
      <c r="AO90" s="232"/>
      <c r="AP90" s="232"/>
      <c r="AQ90" s="232"/>
      <c r="AR90" s="232"/>
      <c r="AS90" s="232"/>
      <c r="AT90" s="232"/>
      <c r="AU90" s="232"/>
      <c r="AV90" s="232"/>
      <c r="AW90" s="232"/>
      <c r="AX90" s="290"/>
      <c r="AY90" s="290"/>
      <c r="AZ90" s="290"/>
      <c r="BA90" s="290"/>
      <c r="BB90" s="290"/>
      <c r="BC90" s="290"/>
      <c r="BD90" s="290"/>
      <c r="BE90" s="290"/>
      <c r="BF90" s="290"/>
      <c r="BG90" s="290"/>
      <c r="BH90" s="290"/>
      <c r="BI90" s="290"/>
      <c r="BJ90" s="290"/>
      <c r="BK90" s="290"/>
      <c r="BL90" s="290"/>
      <c r="BM90" s="231"/>
      <c r="BN90" s="231"/>
      <c r="BO90" s="231"/>
      <c r="BP90" s="231"/>
      <c r="BQ90" s="231"/>
    </row>
    <row r="91" spans="1:85" s="7" customFormat="1" x14ac:dyDescent="0.2">
      <c r="A91" s="189" t="s">
        <v>409</v>
      </c>
      <c r="B91" s="283" t="s">
        <v>410</v>
      </c>
      <c r="C91" s="5">
        <v>1035</v>
      </c>
      <c r="D91" s="6">
        <v>44393</v>
      </c>
      <c r="E91" s="284">
        <f>IF($D91 = 0,0,DATEDIF($D91,$D$7,"D"))</f>
        <v>57</v>
      </c>
      <c r="F91" s="193">
        <f>((R91*$R$2)+(S91*$S$2)+(T91*$T$2)++(U91*$U$2)++(V91*$V$2)++(W91*$W$2)++(X91*$X$2)++(Y91*$Y$2)+(Z91*$Z$2)+(AA91*$AA$2)+(AB91*$AB$2)+(AC91*$AC$2)+(AD91*$AD$2)+(AE91*$AE$2)+(AF91*$AF$2)+(AG91*$AG$2)+(AH91*$AH$2)+(AI91*$AI$2)+(AJ91*$AJ$2)+(AK91*$AK$2)+(AL91*$AL$2)+(AM91*$AM$2)+(AN91*$AN$2)+(AO91*$AO$2)+(AP91*$AP$2)+(AQ91*$AQ$2)+(AR91*$AR$2)+(AS91*$AS$2)+(AT91*$AT$2)+(AU91*$AU$2)+(AV91*$AV$2)+(AW91*$AW$2))</f>
        <v>160</v>
      </c>
      <c r="G91" s="8" t="s">
        <v>38</v>
      </c>
      <c r="H91" s="9"/>
      <c r="I91" s="9"/>
      <c r="J91" s="9"/>
      <c r="K91" s="93">
        <f>+F91-I91+J91-H91</f>
        <v>160</v>
      </c>
      <c r="L91" s="243">
        <v>160</v>
      </c>
      <c r="M91" s="251">
        <f>+K91-L91</f>
        <v>0</v>
      </c>
      <c r="N91" s="251"/>
      <c r="O91" s="251"/>
      <c r="P91" s="251">
        <f>+L91-O91</f>
        <v>160</v>
      </c>
      <c r="Q91" s="285"/>
      <c r="R91" s="5"/>
      <c r="S91" s="8"/>
      <c r="T91" s="8"/>
      <c r="U91" s="8"/>
      <c r="V91" s="8"/>
      <c r="W91" s="8"/>
      <c r="X91" s="8">
        <v>1</v>
      </c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194">
        <f>IF($G91="Youth 0-3",1,0)</f>
        <v>0</v>
      </c>
      <c r="AY91" s="194">
        <f>IF($G91="Youth 4-11",1,0)</f>
        <v>0</v>
      </c>
      <c r="AZ91" s="194">
        <f>IF($G91="Youth 12-15",1,0)</f>
        <v>0</v>
      </c>
      <c r="BA91" s="194">
        <f>IF($G91="Addict",1,0)</f>
        <v>1</v>
      </c>
      <c r="BB91" s="194">
        <f>IF($G91="Non-Addict",1,0)</f>
        <v>0</v>
      </c>
      <c r="BC91" s="194">
        <f>IF($G91="Free Reg Certificate",1,0)</f>
        <v>0</v>
      </c>
      <c r="BD91" s="194">
        <f>IF($G91="Newcomer",1,0)</f>
        <v>0</v>
      </c>
      <c r="BE91" s="194">
        <f>IF($G91="Committee",1,0)</f>
        <v>0</v>
      </c>
      <c r="BF91" s="194">
        <f>IF($G91="Treatment",1,0)</f>
        <v>0</v>
      </c>
      <c r="BG91" s="194">
        <f>IF($G91="Meeting Sponsored",1,0)</f>
        <v>0</v>
      </c>
      <c r="BH91" s="194">
        <f>IF($G91="Programming",1,0)</f>
        <v>0</v>
      </c>
      <c r="BI91" s="194">
        <f>IF($G91="Hardship",1,0)</f>
        <v>0</v>
      </c>
      <c r="BJ91" s="194">
        <f>IF($G91="Refund",1,0)</f>
        <v>0</v>
      </c>
      <c r="BK91" s="194">
        <f>IF($G91="Vermilion Bucks",1,0)</f>
        <v>0</v>
      </c>
      <c r="BL91" s="194">
        <f>IF($G91="Other",1,0)</f>
        <v>0</v>
      </c>
      <c r="BM91" s="286"/>
      <c r="BN91" s="286"/>
      <c r="BO91" s="286">
        <f>SUM(AX91:BL91)</f>
        <v>1</v>
      </c>
      <c r="BP91" s="287">
        <f>SUM(R91:AW91)</f>
        <v>1</v>
      </c>
      <c r="BQ91" s="287">
        <f>+BO91+BP91</f>
        <v>2</v>
      </c>
    </row>
    <row r="92" spans="1:85" s="7" customFormat="1" ht="10.199999999999999" customHeight="1" x14ac:dyDescent="0.2">
      <c r="A92" s="182" t="s">
        <v>289</v>
      </c>
      <c r="B92" s="186" t="s">
        <v>290</v>
      </c>
      <c r="C92" s="5">
        <v>250</v>
      </c>
      <c r="D92" s="6">
        <v>43704</v>
      </c>
      <c r="E92" s="284">
        <f>IF($D92 = 0,0,DATEDIF($D92,$D$7,"D"))</f>
        <v>746</v>
      </c>
      <c r="F92" s="193">
        <f>((R92*$R$2)+(S92*$S$2)+(T92*$T$2)++(U92*$U$2)++(V92*$V$2)++(W92*$W$2)++(X92*$X$2)++(Y92*$Y$2)+(Z92*$Z$2)+(AA92*$AA$2)+(AB92*$AB$2)+(AC92*$AC$2)+(AD92*$AD$2)+(AE92*$AE$2)+(AF92*$AF$2)+(AG92*$AG$2)+(AH92*$AH$2)+(AI92*$AI$2)+(AJ92*$AJ$2)+(AK92*$AK$2)+(AL92*$AL$2)+(AM92*$AM$2)+(AN92*$AN$2)+(AO92*$AO$2)+(AP92*$AP$2)+(AQ92*$AQ$2)+(AR92*$AR$2)+(AS92*$AS$2)+(AT92*$AT$2)+(AU92*$AU$2)+(AV92*$AV$2)+(AW92*$AW$2))</f>
        <v>125</v>
      </c>
      <c r="G92" s="8" t="s">
        <v>38</v>
      </c>
      <c r="H92" s="9"/>
      <c r="I92" s="9"/>
      <c r="J92" s="9"/>
      <c r="K92" s="93">
        <f>+F92-I92+J92-H92</f>
        <v>125</v>
      </c>
      <c r="L92" s="243">
        <v>125</v>
      </c>
      <c r="M92" s="251">
        <f>+K92-L92</f>
        <v>0</v>
      </c>
      <c r="N92" s="251"/>
      <c r="O92" s="251"/>
      <c r="P92" s="251">
        <f>+L92-O92</f>
        <v>125</v>
      </c>
      <c r="Q92" s="285"/>
      <c r="R92" s="5"/>
      <c r="S92" s="8"/>
      <c r="T92" s="8"/>
      <c r="U92" s="8"/>
      <c r="V92" s="8"/>
      <c r="W92" s="8"/>
      <c r="X92" s="8"/>
      <c r="Y92" s="8"/>
      <c r="Z92" s="8"/>
      <c r="AA92" s="8"/>
      <c r="AB92" s="8"/>
      <c r="AC92" s="8">
        <v>1</v>
      </c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194">
        <f>IF($G92="Youth 0-3",1,0)</f>
        <v>0</v>
      </c>
      <c r="AY92" s="194">
        <f>IF($G92="Youth 4-11",1,0)</f>
        <v>0</v>
      </c>
      <c r="AZ92" s="194">
        <f>IF($G92="Youth 12-15",1,0)</f>
        <v>0</v>
      </c>
      <c r="BA92" s="194">
        <f>IF($G92="Addict",1,0)</f>
        <v>1</v>
      </c>
      <c r="BB92" s="194">
        <f>IF($G92="Non-Addict",1,0)</f>
        <v>0</v>
      </c>
      <c r="BC92" s="194">
        <f>IF($G92="Free Reg Certificate",1,0)</f>
        <v>0</v>
      </c>
      <c r="BD92" s="194">
        <f>IF($G92="Newcomer",1,0)</f>
        <v>0</v>
      </c>
      <c r="BE92" s="194">
        <f>IF($G92="Committee",1,0)</f>
        <v>0</v>
      </c>
      <c r="BF92" s="194">
        <f>IF($G92="Treatment",1,0)</f>
        <v>0</v>
      </c>
      <c r="BG92" s="194">
        <f>IF($G92="Meeting Sponsored",1,0)</f>
        <v>0</v>
      </c>
      <c r="BH92" s="194">
        <f>IF($G92="Programming",1,0)</f>
        <v>0</v>
      </c>
      <c r="BI92" s="194">
        <f>IF($G92="Hardship",1,0)</f>
        <v>0</v>
      </c>
      <c r="BJ92" s="194">
        <f>IF($G92="Refund",1,0)</f>
        <v>0</v>
      </c>
      <c r="BK92" s="194">
        <f>IF($G92="Vermilion Bucks",1,0)</f>
        <v>0</v>
      </c>
      <c r="BL92" s="194">
        <f>IF($G92="Other",1,0)</f>
        <v>0</v>
      </c>
      <c r="BM92" s="286"/>
      <c r="BN92" s="286"/>
      <c r="BO92" s="286">
        <f>SUM(AX92:BL92)</f>
        <v>1</v>
      </c>
      <c r="BP92" s="287">
        <f>SUM(R92:AW92)</f>
        <v>1</v>
      </c>
      <c r="BQ92" s="287">
        <f>+BO92+BP92</f>
        <v>2</v>
      </c>
    </row>
    <row r="93" spans="1:85" s="7" customFormat="1" ht="10.199999999999999" customHeight="1" x14ac:dyDescent="0.2">
      <c r="A93" s="182" t="s">
        <v>473</v>
      </c>
      <c r="B93" s="272" t="s">
        <v>260</v>
      </c>
      <c r="C93" s="5">
        <v>81</v>
      </c>
      <c r="D93" s="6">
        <v>44243</v>
      </c>
      <c r="E93" s="284">
        <f>IF($D93 = 0,0,DATEDIF($D93,$D$7,"D"))</f>
        <v>207</v>
      </c>
      <c r="F93" s="193">
        <f>((R93*$R$2)+(S93*$S$2)+(T93*$T$2)++(U93*$U$2)++(V93*$V$2)++(W93*$W$2)++(X93*$X$2)++(Y93*$Y$2)+(Z93*$Z$2)+(AA93*$AA$2)+(AB93*$AB$2)+(AC93*$AC$2)+(AD93*$AD$2)+(AE93*$AE$2)+(AF93*$AF$2)+(AG93*$AG$2)+(AH93*$AH$2)+(AI93*$AI$2)+(AJ93*$AJ$2)+(AK93*$AK$2)+(AL93*$AL$2)+(AM93*$AM$2)+(AN93*$AN$2)+(AO93*$AO$2)+(AP93*$AP$2)+(AQ93*$AQ$2)+(AR93*$AR$2)+(AS93*$AS$2)+(AT93*$AT$2)+(AU93*$AU$2)+(AV93*$AV$2)+(AW93*$AW$2))</f>
        <v>125</v>
      </c>
      <c r="G93" s="8" t="s">
        <v>38</v>
      </c>
      <c r="H93" s="9"/>
      <c r="I93" s="9"/>
      <c r="J93" s="9"/>
      <c r="K93" s="93">
        <f>+F93-I93+J93-H93</f>
        <v>125</v>
      </c>
      <c r="L93" s="243">
        <v>125</v>
      </c>
      <c r="M93" s="251">
        <f>+K93-L93</f>
        <v>0</v>
      </c>
      <c r="N93" s="251"/>
      <c r="O93" s="251"/>
      <c r="P93" s="251">
        <f>+L93-O93</f>
        <v>125</v>
      </c>
      <c r="Q93" s="285"/>
      <c r="R93" s="5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>
        <v>1</v>
      </c>
      <c r="AV93" s="8"/>
      <c r="AW93" s="8"/>
      <c r="AX93" s="194">
        <f>IF($G93="Youth 0-3",1,0)</f>
        <v>0</v>
      </c>
      <c r="AY93" s="194">
        <f>IF($G93="Youth 4-11",1,0)</f>
        <v>0</v>
      </c>
      <c r="AZ93" s="194">
        <f>IF($G93="Youth 12-15",1,0)</f>
        <v>0</v>
      </c>
      <c r="BA93" s="194">
        <f>IF($G93="Addict",1,0)</f>
        <v>1</v>
      </c>
      <c r="BB93" s="194">
        <f>IF($G93="Non-Addict",1,0)</f>
        <v>0</v>
      </c>
      <c r="BC93" s="194">
        <f>IF($G93="Free Reg Certificate",1,0)</f>
        <v>0</v>
      </c>
      <c r="BD93" s="194">
        <f>IF($G93="Newcomer",1,0)</f>
        <v>0</v>
      </c>
      <c r="BE93" s="194">
        <f>IF($G93="Committee",1,0)</f>
        <v>0</v>
      </c>
      <c r="BF93" s="194">
        <f>IF($G93="Treatment",1,0)</f>
        <v>0</v>
      </c>
      <c r="BG93" s="194">
        <f>IF($G93="Meeting Sponsored",1,0)</f>
        <v>0</v>
      </c>
      <c r="BH93" s="194">
        <f>IF($G93="Programming",1,0)</f>
        <v>0</v>
      </c>
      <c r="BI93" s="194">
        <f>IF($G93="Hardship",1,0)</f>
        <v>0</v>
      </c>
      <c r="BJ93" s="194">
        <f>IF($G93="Refund",1,0)</f>
        <v>0</v>
      </c>
      <c r="BK93" s="194">
        <f>IF($G93="Vermilion Bucks",1,0)</f>
        <v>0</v>
      </c>
      <c r="BL93" s="194">
        <f>IF($G93="Other",1,0)</f>
        <v>0</v>
      </c>
      <c r="BM93" s="286"/>
      <c r="BN93" s="286"/>
      <c r="BO93" s="286">
        <f>SUM(AX93:BL93)</f>
        <v>1</v>
      </c>
      <c r="BP93" s="287">
        <f>SUM(R93:AW93)</f>
        <v>1</v>
      </c>
      <c r="BQ93" s="287">
        <f>+BO93+BP93</f>
        <v>2</v>
      </c>
    </row>
    <row r="94" spans="1:85" s="7" customFormat="1" ht="10.199999999999999" customHeight="1" x14ac:dyDescent="0.2">
      <c r="A94" s="276" t="s">
        <v>418</v>
      </c>
      <c r="B94" s="187"/>
      <c r="C94" s="5">
        <v>232</v>
      </c>
      <c r="D94" s="6">
        <v>44027</v>
      </c>
      <c r="E94" s="284">
        <f>IF($D94 = 0,0,DATEDIF($D94,$D$7,"D"))</f>
        <v>423</v>
      </c>
      <c r="F94" s="193">
        <f>((R94*$R$2)+(S94*$S$2)+(T94*$T$2)++(U94*$U$2)++(V94*$V$2)++(W94*$W$2)++(X94*$X$2)++(Y94*$Y$2)+(Z94*$Z$2)+(AA94*$AA$2)+(AB94*$AB$2)+(AC94*$AC$2)+(AD94*$AD$2)+(AE94*$AE$2)+(AF94*$AF$2)+(AG94*$AG$2)+(AH94*$AH$2)+(AI94*$AI$2)+(AJ94*$AJ$2)+(AK94*$AK$2)+(AL94*$AL$2)+(AM94*$AM$2)+(AN94*$AN$2)+(AO94*$AO$2)+(AP94*$AP$2)+(AQ94*$AQ$2)+(AR94*$AR$2)+(AS94*$AS$2)+(AT94*$AT$2)+(AU94*$AU$2)+(AV94*$AV$2)+(AW94*$AW$2))</f>
        <v>130</v>
      </c>
      <c r="G94" s="8" t="s">
        <v>38</v>
      </c>
      <c r="H94" s="9"/>
      <c r="I94" s="9"/>
      <c r="J94" s="9"/>
      <c r="K94" s="93">
        <f>+F94-I94+J94-H94</f>
        <v>130</v>
      </c>
      <c r="L94" s="243">
        <v>130</v>
      </c>
      <c r="M94" s="251">
        <f>+K94-L94</f>
        <v>0</v>
      </c>
      <c r="N94" s="251"/>
      <c r="O94" s="251"/>
      <c r="P94" s="251">
        <f>+L94-O94</f>
        <v>130</v>
      </c>
      <c r="Q94" s="285"/>
      <c r="R94" s="5"/>
      <c r="S94" s="8"/>
      <c r="T94" s="8"/>
      <c r="U94" s="8"/>
      <c r="V94" s="8"/>
      <c r="W94" s="8"/>
      <c r="X94" s="8"/>
      <c r="Y94" s="8"/>
      <c r="Z94" s="8"/>
      <c r="AA94" s="8">
        <v>1</v>
      </c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194">
        <f>IF($G94="Youth 0-3",1,0)</f>
        <v>0</v>
      </c>
      <c r="AY94" s="194">
        <f>IF($G94="Youth 4-11",1,0)</f>
        <v>0</v>
      </c>
      <c r="AZ94" s="194">
        <f>IF($G94="Youth 12-15",1,0)</f>
        <v>0</v>
      </c>
      <c r="BA94" s="194">
        <f>IF($G94="Addict",1,0)</f>
        <v>1</v>
      </c>
      <c r="BB94" s="194">
        <f>IF($G94="Non-Addict",1,0)</f>
        <v>0</v>
      </c>
      <c r="BC94" s="194">
        <f>IF($G94="Free Reg Certificate",1,0)</f>
        <v>0</v>
      </c>
      <c r="BD94" s="194">
        <f>IF($G94="Newcomer",1,0)</f>
        <v>0</v>
      </c>
      <c r="BE94" s="194">
        <f>IF($G94="Committee",1,0)</f>
        <v>0</v>
      </c>
      <c r="BF94" s="194">
        <f>IF($G94="Treatment",1,0)</f>
        <v>0</v>
      </c>
      <c r="BG94" s="194">
        <f>IF($G94="Meeting Sponsored",1,0)</f>
        <v>0</v>
      </c>
      <c r="BH94" s="194">
        <f>IF($G94="Programming",1,0)</f>
        <v>0</v>
      </c>
      <c r="BI94" s="194">
        <f>IF($G94="Hardship",1,0)</f>
        <v>0</v>
      </c>
      <c r="BJ94" s="194">
        <f>IF($G94="Refund",1,0)</f>
        <v>0</v>
      </c>
      <c r="BK94" s="194">
        <f>IF($G94="Vermilion Bucks",1,0)</f>
        <v>0</v>
      </c>
      <c r="BL94" s="194">
        <f>IF($G94="Other",1,0)</f>
        <v>0</v>
      </c>
      <c r="BM94" s="286"/>
      <c r="BN94" s="286"/>
      <c r="BO94" s="286">
        <f>SUM(AX94:BL94)</f>
        <v>1</v>
      </c>
      <c r="BP94" s="287">
        <f>SUM(R94:AW94)</f>
        <v>1</v>
      </c>
      <c r="BQ94" s="287">
        <f>+BO94+BP94</f>
        <v>2</v>
      </c>
    </row>
    <row r="95" spans="1:85" s="7" customFormat="1" x14ac:dyDescent="0.2">
      <c r="A95" s="276" t="s">
        <v>419</v>
      </c>
      <c r="B95" s="187"/>
      <c r="C95" s="5">
        <v>232</v>
      </c>
      <c r="D95" s="6">
        <v>44242</v>
      </c>
      <c r="E95" s="284">
        <f>IF($D95 = 0,0,DATEDIF($D95,$D$7,"D"))</f>
        <v>208</v>
      </c>
      <c r="F95" s="193">
        <f>((R95*$R$2)+(S95*$S$2)+(T95*$T$2)++(U95*$U$2)++(V95*$V$2)++(W95*$W$2)++(X95*$X$2)++(Y95*$Y$2)+(Z95*$Z$2)+(AA95*$AA$2)+(AB95*$AB$2)+(AC95*$AC$2)+(AD95*$AD$2)+(AE95*$AE$2)+(AF95*$AF$2)+(AG95*$AG$2)+(AH95*$AH$2)+(AI95*$AI$2)+(AJ95*$AJ$2)+(AK95*$AK$2)+(AL95*$AL$2)+(AM95*$AM$2)+(AN95*$AN$2)+(AO95*$AO$2)+(AP95*$AP$2)+(AQ95*$AQ$2)+(AR95*$AR$2)+(AS95*$AS$2)+(AT95*$AT$2)+(AU95*$AU$2)+(AV95*$AV$2)+(AW95*$AW$2))</f>
        <v>130</v>
      </c>
      <c r="G95" s="8" t="s">
        <v>38</v>
      </c>
      <c r="H95" s="9"/>
      <c r="I95" s="9"/>
      <c r="J95" s="9"/>
      <c r="K95" s="93">
        <f>+F95-I95+J95-H95</f>
        <v>130</v>
      </c>
      <c r="L95" s="243">
        <v>130</v>
      </c>
      <c r="M95" s="251">
        <f>+K95-L95</f>
        <v>0</v>
      </c>
      <c r="N95" s="251"/>
      <c r="O95" s="251"/>
      <c r="P95" s="251">
        <f>+L95-O95</f>
        <v>130</v>
      </c>
      <c r="Q95" s="285"/>
      <c r="R95" s="5"/>
      <c r="S95" s="8"/>
      <c r="T95" s="8"/>
      <c r="U95" s="8"/>
      <c r="V95" s="8"/>
      <c r="W95" s="8"/>
      <c r="X95" s="8"/>
      <c r="Y95" s="8"/>
      <c r="Z95" s="8"/>
      <c r="AA95" s="8">
        <v>1</v>
      </c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194">
        <f>IF($G95="Youth 0-3",1,0)</f>
        <v>0</v>
      </c>
      <c r="AY95" s="194">
        <f>IF($G95="Youth 4-11",1,0)</f>
        <v>0</v>
      </c>
      <c r="AZ95" s="194">
        <f>IF($G95="Youth 12-15",1,0)</f>
        <v>0</v>
      </c>
      <c r="BA95" s="194">
        <f>IF($G95="Addict",1,0)</f>
        <v>1</v>
      </c>
      <c r="BB95" s="194">
        <f>IF($G95="Non-Addict",1,0)</f>
        <v>0</v>
      </c>
      <c r="BC95" s="194">
        <f>IF($G95="Free Reg Certificate",1,0)</f>
        <v>0</v>
      </c>
      <c r="BD95" s="194">
        <f>IF($G95="Newcomer",1,0)</f>
        <v>0</v>
      </c>
      <c r="BE95" s="194">
        <f>IF($G95="Committee",1,0)</f>
        <v>0</v>
      </c>
      <c r="BF95" s="194">
        <f>IF($G95="Treatment",1,0)</f>
        <v>0</v>
      </c>
      <c r="BG95" s="194">
        <f>IF($G95="Meeting Sponsored",1,0)</f>
        <v>0</v>
      </c>
      <c r="BH95" s="194">
        <f>IF($G95="Programming",1,0)</f>
        <v>0</v>
      </c>
      <c r="BI95" s="194">
        <f>IF($G95="Hardship",1,0)</f>
        <v>0</v>
      </c>
      <c r="BJ95" s="194">
        <f>IF($G95="Refund",1,0)</f>
        <v>0</v>
      </c>
      <c r="BK95" s="194">
        <f>IF($G95="Vermilion Bucks",1,0)</f>
        <v>0</v>
      </c>
      <c r="BL95" s="194">
        <f>IF($G95="Other",1,0)</f>
        <v>0</v>
      </c>
      <c r="BM95" s="286"/>
      <c r="BN95" s="286"/>
      <c r="BO95" s="286">
        <f>SUM(AX95:BL95)</f>
        <v>1</v>
      </c>
      <c r="BP95" s="287">
        <f>SUM(R95:AW95)</f>
        <v>1</v>
      </c>
      <c r="BQ95" s="287">
        <f>+BO95+BP95</f>
        <v>2</v>
      </c>
    </row>
    <row r="96" spans="1:85" s="7" customFormat="1" ht="10.199999999999999" customHeight="1" x14ac:dyDescent="0.2">
      <c r="A96" s="182" t="s">
        <v>474</v>
      </c>
      <c r="B96" s="272" t="s">
        <v>260</v>
      </c>
      <c r="C96" s="5">
        <v>81</v>
      </c>
      <c r="D96" s="6"/>
      <c r="E96" s="284">
        <f>IF($D96 = 0,0,DATEDIF($D96,$D$7,"D"))</f>
        <v>0</v>
      </c>
      <c r="F96" s="193">
        <f>((R96*$R$2)+(S96*$S$2)+(T96*$T$2)++(U96*$U$2)++(V96*$V$2)++(W96*$W$2)++(X96*$X$2)++(Y96*$Y$2)+(Z96*$Z$2)+(AA96*$AA$2)+(AB96*$AB$2)+(AC96*$AC$2)+(AD96*$AD$2)+(AE96*$AE$2)+(AF96*$AF$2)+(AG96*$AG$2)+(AH96*$AH$2)+(AI96*$AI$2)+(AJ96*$AJ$2)+(AK96*$AK$2)+(AL96*$AL$2)+(AM96*$AM$2)+(AN96*$AN$2)+(AO96*$AO$2)+(AP96*$AP$2)+(AQ96*$AQ$2)+(AR96*$AR$2)+(AS96*$AS$2)+(AT96*$AT$2)+(AU96*$AU$2)+(AV96*$AV$2)+(AW96*$AW$2))</f>
        <v>125</v>
      </c>
      <c r="G96" s="8" t="s">
        <v>95</v>
      </c>
      <c r="H96" s="9"/>
      <c r="I96" s="9">
        <v>75</v>
      </c>
      <c r="J96" s="9"/>
      <c r="K96" s="93">
        <f>+F96-I96+J96-H96</f>
        <v>50</v>
      </c>
      <c r="L96" s="243">
        <v>50</v>
      </c>
      <c r="M96" s="251">
        <f>+K96-L96</f>
        <v>0</v>
      </c>
      <c r="N96" s="251"/>
      <c r="O96" s="251"/>
      <c r="P96" s="251">
        <f>+L96-O96</f>
        <v>50</v>
      </c>
      <c r="Q96" s="285"/>
      <c r="R96" s="5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>
        <v>1</v>
      </c>
      <c r="AV96" s="8"/>
      <c r="AW96" s="8"/>
      <c r="AX96" s="194">
        <f>IF($G96="Youth 0-3",1,0)</f>
        <v>0</v>
      </c>
      <c r="AY96" s="194">
        <f>IF($G96="Youth 4-11",1,0)</f>
        <v>1</v>
      </c>
      <c r="AZ96" s="194">
        <f>IF($G96="Youth 12-15",1,0)</f>
        <v>0</v>
      </c>
      <c r="BA96" s="194">
        <f>IF($G96="Addict",1,0)</f>
        <v>0</v>
      </c>
      <c r="BB96" s="194">
        <f>IF($G96="Non-Addict",1,0)</f>
        <v>0</v>
      </c>
      <c r="BC96" s="194">
        <f>IF($G96="Free Reg Certificate",1,0)</f>
        <v>0</v>
      </c>
      <c r="BD96" s="194">
        <f>IF($G96="Newcomer",1,0)</f>
        <v>0</v>
      </c>
      <c r="BE96" s="194">
        <f>IF($G96="Committee",1,0)</f>
        <v>0</v>
      </c>
      <c r="BF96" s="194">
        <f>IF($G96="Treatment",1,0)</f>
        <v>0</v>
      </c>
      <c r="BG96" s="194">
        <f>IF($G96="Meeting Sponsored",1,0)</f>
        <v>0</v>
      </c>
      <c r="BH96" s="194">
        <f>IF($G96="Programming",1,0)</f>
        <v>0</v>
      </c>
      <c r="BI96" s="194">
        <f>IF($G96="Hardship",1,0)</f>
        <v>0</v>
      </c>
      <c r="BJ96" s="194">
        <f>IF($G96="Refund",1,0)</f>
        <v>0</v>
      </c>
      <c r="BK96" s="194">
        <f>IF($G96="Vermilion Bucks",1,0)</f>
        <v>0</v>
      </c>
      <c r="BL96" s="194">
        <f>IF($G96="Other",1,0)</f>
        <v>0</v>
      </c>
      <c r="BM96" s="286"/>
      <c r="BN96" s="286"/>
      <c r="BO96" s="286">
        <f>SUM(AX96:BL96)</f>
        <v>1</v>
      </c>
      <c r="BP96" s="287">
        <f>SUM(R96:AW96)</f>
        <v>1</v>
      </c>
      <c r="BQ96" s="287">
        <f>+BO96+BP96</f>
        <v>2</v>
      </c>
    </row>
    <row r="97" spans="1:85" s="7" customFormat="1" x14ac:dyDescent="0.2">
      <c r="A97" s="182" t="s">
        <v>429</v>
      </c>
      <c r="B97" s="177"/>
      <c r="C97" s="5">
        <v>310</v>
      </c>
      <c r="D97" s="6">
        <v>42219</v>
      </c>
      <c r="E97" s="284">
        <f>IF($D97 = 0,0,DATEDIF($D97,$D$7,"D"))</f>
        <v>2231</v>
      </c>
      <c r="F97" s="193">
        <f>((R97*$R$2)+(S97*$S$2)+(T97*$T$2)++(U97*$U$2)++(V97*$V$2)++(W97*$W$2)++(X97*$X$2)++(Y97*$Y$2)+(Z97*$Z$2)+(AA97*$AA$2)+(AB97*$AB$2)+(AC97*$AC$2)+(AD97*$AD$2)+(AE97*$AE$2)+(AF97*$AF$2)+(AG97*$AG$2)+(AH97*$AH$2)+(AI97*$AI$2)+(AJ97*$AJ$2)+(AK97*$AK$2)+(AL97*$AL$2)+(AM97*$AM$2)+(AN97*$AN$2)+(AO97*$AO$2)+(AP97*$AP$2)+(AQ97*$AQ$2)+(AR97*$AR$2)+(AS97*$AS$2)+(AT97*$AT$2)+(AU97*$AU$2)+(AV97*$AV$2)+(AW97*$AW$2))</f>
        <v>100</v>
      </c>
      <c r="G97" s="8" t="s">
        <v>94</v>
      </c>
      <c r="H97" s="9">
        <v>50</v>
      </c>
      <c r="I97" s="9"/>
      <c r="J97" s="9"/>
      <c r="K97" s="93">
        <f>+F97-I97+J97-H97</f>
        <v>50</v>
      </c>
      <c r="L97" s="243">
        <v>50</v>
      </c>
      <c r="M97" s="251">
        <f>+K97-L97</f>
        <v>0</v>
      </c>
      <c r="N97" s="251"/>
      <c r="O97" s="251"/>
      <c r="P97" s="251">
        <f>+L97-O97</f>
        <v>50</v>
      </c>
      <c r="Q97" s="285"/>
      <c r="R97" s="5"/>
      <c r="S97" s="8">
        <v>1</v>
      </c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194">
        <f>IF($G97="Youth 0-3",1,0)</f>
        <v>0</v>
      </c>
      <c r="AY97" s="194">
        <f>IF($G97="Youth 4-11",1,0)</f>
        <v>0</v>
      </c>
      <c r="AZ97" s="194">
        <f>IF($G97="Youth 12-15",1,0)</f>
        <v>0</v>
      </c>
      <c r="BA97" s="194">
        <f>IF($G97="Addict",1,0)</f>
        <v>0</v>
      </c>
      <c r="BB97" s="194">
        <f>IF($G97="Non-Addict",1,0)</f>
        <v>0</v>
      </c>
      <c r="BC97" s="194">
        <f>IF($G97="Free Reg Certificate",1,0)</f>
        <v>0</v>
      </c>
      <c r="BD97" s="194">
        <f>IF($G97="Newcomer",1,0)</f>
        <v>0</v>
      </c>
      <c r="BE97" s="194">
        <f>IF($G97="Committee",1,0)</f>
        <v>0</v>
      </c>
      <c r="BF97" s="194">
        <f>IF($G97="Treatment",1,0)</f>
        <v>0</v>
      </c>
      <c r="BG97" s="194">
        <f>IF($G97="Meeting Sponsored",1,0)</f>
        <v>0</v>
      </c>
      <c r="BH97" s="194">
        <f>IF($G97="Programming",1,0)</f>
        <v>0</v>
      </c>
      <c r="BI97" s="194">
        <f>IF($G97="Hardship",1,0)</f>
        <v>1</v>
      </c>
      <c r="BJ97" s="194">
        <f>IF($G97="Refund",1,0)</f>
        <v>0</v>
      </c>
      <c r="BK97" s="194">
        <f>IF($G97="Vermilion Bucks",1,0)</f>
        <v>0</v>
      </c>
      <c r="BL97" s="194">
        <f>IF($G97="Other",1,0)</f>
        <v>0</v>
      </c>
      <c r="BM97" s="286"/>
      <c r="BN97" s="286"/>
      <c r="BO97" s="286">
        <f>SUM(AX97:BL97)</f>
        <v>1</v>
      </c>
      <c r="BP97" s="287">
        <f>SUM(R97:AW97)</f>
        <v>1</v>
      </c>
      <c r="BQ97" s="287">
        <f>+BO97+BP97</f>
        <v>2</v>
      </c>
      <c r="BR97" s="241"/>
      <c r="BS97" s="241"/>
      <c r="BT97" s="241"/>
      <c r="BU97" s="241"/>
      <c r="BV97" s="241"/>
      <c r="BW97" s="241"/>
      <c r="BX97" s="241"/>
      <c r="BY97" s="241"/>
      <c r="BZ97" s="241"/>
      <c r="CA97" s="241"/>
      <c r="CB97" s="241"/>
      <c r="CC97" s="241"/>
      <c r="CD97" s="241"/>
      <c r="CE97" s="241"/>
      <c r="CF97" s="241"/>
      <c r="CG97" s="241"/>
    </row>
    <row r="98" spans="1:85" s="7" customFormat="1" ht="10.199999999999999" customHeight="1" x14ac:dyDescent="0.2">
      <c r="A98" s="294" t="s">
        <v>411</v>
      </c>
      <c r="B98" s="177"/>
      <c r="C98" s="5">
        <v>294</v>
      </c>
      <c r="D98" s="6">
        <v>41617</v>
      </c>
      <c r="E98" s="284">
        <f>IF($D98 = 0,0,DATEDIF($D98,$D$7,"D"))</f>
        <v>2833</v>
      </c>
      <c r="F98" s="193">
        <f>((R98*$R$2)+(S98*$S$2)+(T98*$T$2)++(U98*$U$2)++(V98*$V$2)++(W98*$W$2)++(X98*$X$2)++(Y98*$Y$2)+(Z98*$Z$2)+(AA98*$AA$2)+(AB98*$AB$2)+(AC98*$AC$2)+(AD98*$AD$2)+(AE98*$AE$2)+(AF98*$AF$2)+(AG98*$AG$2)+(AH98*$AH$2)+(AI98*$AI$2)+(AJ98*$AJ$2)+(AK98*$AK$2)+(AL98*$AL$2)+(AM98*$AM$2)+(AN98*$AN$2)+(AO98*$AO$2)+(AP98*$AP$2)+(AQ98*$AQ$2)+(AR98*$AR$2)+(AS98*$AS$2)+(AT98*$AT$2)+(AU98*$AU$2)+(AV98*$AV$2)+(AW98*$AW$2))</f>
        <v>125</v>
      </c>
      <c r="G98" s="8" t="s">
        <v>38</v>
      </c>
      <c r="H98" s="9"/>
      <c r="I98" s="9"/>
      <c r="J98" s="9"/>
      <c r="K98" s="93">
        <f>+F98-I98+J98-H98</f>
        <v>125</v>
      </c>
      <c r="L98" s="64">
        <v>125</v>
      </c>
      <c r="M98" s="275">
        <f>+K98-L98</f>
        <v>0</v>
      </c>
      <c r="N98" s="275"/>
      <c r="O98" s="275"/>
      <c r="P98" s="253"/>
      <c r="Q98" s="293"/>
      <c r="R98" s="5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>
        <v>1</v>
      </c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194">
        <f>IF($G98="Youth 0-3",1,0)</f>
        <v>0</v>
      </c>
      <c r="AY98" s="194">
        <f>IF($G98="Youth 4-11",1,0)</f>
        <v>0</v>
      </c>
      <c r="AZ98" s="194">
        <f>IF($G98="Youth 12-15",1,0)</f>
        <v>0</v>
      </c>
      <c r="BA98" s="194">
        <f>IF($G98="Addict",1,0)</f>
        <v>1</v>
      </c>
      <c r="BB98" s="194">
        <f>IF($G98="Non-Addict",1,0)</f>
        <v>0</v>
      </c>
      <c r="BC98" s="194">
        <f>IF($G98="Free Reg Certificate",1,0)</f>
        <v>0</v>
      </c>
      <c r="BD98" s="194">
        <f>IF($G98="Newcomer",1,0)</f>
        <v>0</v>
      </c>
      <c r="BE98" s="194">
        <f>IF($G98="Committee",1,0)</f>
        <v>0</v>
      </c>
      <c r="BF98" s="194">
        <f>IF($G98="Treatment",1,0)</f>
        <v>0</v>
      </c>
      <c r="BG98" s="194">
        <f>IF($G98="Meeting Sponsored",1,0)</f>
        <v>0</v>
      </c>
      <c r="BH98" s="194">
        <f>IF($G98="Programming",1,0)</f>
        <v>0</v>
      </c>
      <c r="BI98" s="194">
        <f>IF($G98="Hardship",1,0)</f>
        <v>0</v>
      </c>
      <c r="BJ98" s="194">
        <f>IF($G98="Refund",1,0)</f>
        <v>0</v>
      </c>
      <c r="BK98" s="194">
        <f>IF($G98="Vermilion Bucks",1,0)</f>
        <v>0</v>
      </c>
      <c r="BL98" s="194">
        <f>IF($G98="Other",1,0)</f>
        <v>0</v>
      </c>
      <c r="BM98" s="286"/>
      <c r="BN98" s="286"/>
      <c r="BO98" s="286">
        <f>SUM(AX98:BL98)</f>
        <v>1</v>
      </c>
      <c r="BP98" s="287">
        <f>SUM(R98:AW98)</f>
        <v>1</v>
      </c>
      <c r="BQ98" s="287">
        <f>+BO98+BP98</f>
        <v>2</v>
      </c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</row>
    <row r="99" spans="1:85" s="7" customFormat="1" x14ac:dyDescent="0.2">
      <c r="A99" s="292" t="s">
        <v>526</v>
      </c>
      <c r="B99" s="274" t="s">
        <v>329</v>
      </c>
      <c r="C99" s="5">
        <v>211</v>
      </c>
      <c r="D99" s="6">
        <v>44387</v>
      </c>
      <c r="E99" s="295">
        <f>IF($D99 = 0,0,DATEDIF($D99,$D$7,"D"))</f>
        <v>63</v>
      </c>
      <c r="F99" s="296">
        <f>((R99*$R$2)+(S99*$S$2)+(T99*$T$2)++(U99*$U$2)++(V99*$V$2)++(W99*$W$2)++(X99*$X$2)++(Y99*$Y$2)+(Z99*$Z$2)+(AA99*$AA$2)+(AB99*$AB$2)+(AC99*$AC$2)+(AD99*$AD$2)+(AE99*$AE$2)+(AF99*$AF$2)+(AG99*$AG$2)+(AH99*$AH$2)+(AI99*$AI$2)+(AJ99*$AJ$2)+(AK99*$AK$2)+(AL99*$AL$2)+(AM99*$AM$2)+(AN99*$AN$2)+(AO99*$AO$2)+(AP99*$AP$2)+(AQ99*$AQ$2)+(AR99*$AR$2)+(AS99*$AS$2)+(AT99*$AT$2)+(AU99*$AU$2)+(AV99*$AV$2)+(AW99*$AW$2))</f>
        <v>100</v>
      </c>
      <c r="G99" s="8" t="s">
        <v>27</v>
      </c>
      <c r="H99" s="9">
        <v>50</v>
      </c>
      <c r="I99" s="9"/>
      <c r="J99" s="9">
        <v>2</v>
      </c>
      <c r="K99" s="252">
        <f>+F99-I99+J99-H99</f>
        <v>52</v>
      </c>
      <c r="L99" s="64">
        <v>52</v>
      </c>
      <c r="M99" s="253">
        <f>+K99-L99</f>
        <v>0</v>
      </c>
      <c r="N99" s="253"/>
      <c r="O99" s="253"/>
      <c r="P99" s="253"/>
      <c r="Q99" s="271"/>
      <c r="R99" s="5"/>
      <c r="S99" s="8">
        <v>1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194">
        <f>IF($G99="Youth 0-3",1,0)</f>
        <v>0</v>
      </c>
      <c r="AY99" s="194">
        <f>IF($G99="Youth 4-11",1,0)</f>
        <v>0</v>
      </c>
      <c r="AZ99" s="194">
        <f>IF($G99="Youth 12-15",1,0)</f>
        <v>0</v>
      </c>
      <c r="BA99" s="194">
        <f>IF($G99="Addict",1,0)</f>
        <v>0</v>
      </c>
      <c r="BB99" s="194">
        <f>IF($G99="Non-Addict",1,0)</f>
        <v>0</v>
      </c>
      <c r="BC99" s="194">
        <f>IF($G99="Free Reg Certificate",1,0)</f>
        <v>0</v>
      </c>
      <c r="BD99" s="194">
        <f>IF($G99="Newcomer",1,0)</f>
        <v>1</v>
      </c>
      <c r="BE99" s="194">
        <f>IF($G99="Committee",1,0)</f>
        <v>0</v>
      </c>
      <c r="BF99" s="194">
        <f>IF($G99="Treatment",1,0)</f>
        <v>0</v>
      </c>
      <c r="BG99" s="194">
        <f>IF($G99="Meeting Sponsored",1,0)</f>
        <v>0</v>
      </c>
      <c r="BH99" s="194">
        <f>IF($G99="Programming",1,0)</f>
        <v>0</v>
      </c>
      <c r="BI99" s="194">
        <f>IF($G99="Hardship",1,0)</f>
        <v>0</v>
      </c>
      <c r="BJ99" s="194">
        <f>IF($G99="Refund",1,0)</f>
        <v>0</v>
      </c>
      <c r="BK99" s="194">
        <f>IF($G99="Vermilion Bucks",1,0)</f>
        <v>0</v>
      </c>
      <c r="BL99" s="194">
        <f>IF($G99="Other",1,0)</f>
        <v>0</v>
      </c>
      <c r="BM99" s="286"/>
      <c r="BN99" s="286"/>
      <c r="BO99" s="286">
        <f>SUM(AX99:BL99)</f>
        <v>1</v>
      </c>
      <c r="BP99" s="287">
        <f>SUM(R99:AW99)</f>
        <v>1</v>
      </c>
      <c r="BQ99" s="287">
        <f>+BO99+BP99</f>
        <v>2</v>
      </c>
    </row>
    <row r="100" spans="1:85" s="7" customFormat="1" ht="10.199999999999999" customHeight="1" x14ac:dyDescent="0.2">
      <c r="A100" s="294" t="s">
        <v>398</v>
      </c>
      <c r="B100" s="177"/>
      <c r="C100" s="5">
        <v>443</v>
      </c>
      <c r="D100" s="6">
        <v>43665</v>
      </c>
      <c r="E100" s="284">
        <f>IF($D100 = 0,0,DATEDIF($D100,$D$7,"D"))</f>
        <v>785</v>
      </c>
      <c r="F100" s="193">
        <f>((R100*$R$2)+(S100*$S$2)+(T100*$T$2)++(U100*$U$2)++(V100*$V$2)++(W100*$W$2)++(X100*$X$2)++(Y100*$Y$2)+(Z100*$Z$2)+(AA100*$AA$2)+(AB100*$AB$2)+(AC100*$AC$2)+(AD100*$AD$2)+(AE100*$AE$2)+(AF100*$AF$2)+(AG100*$AG$2)+(AH100*$AH$2)+(AI100*$AI$2)+(AJ100*$AJ$2)+(AK100*$AK$2)+(AL100*$AL$2)+(AM100*$AM$2)+(AN100*$AN$2)+(AO100*$AO$2)+(AP100*$AP$2)+(AQ100*$AQ$2)+(AR100*$AR$2)+(AS100*$AS$2)+(AT100*$AT$2)+(AU100*$AU$2)+(AV100*$AV$2)+(AW100*$AW$2))</f>
        <v>140</v>
      </c>
      <c r="G100" s="8" t="s">
        <v>38</v>
      </c>
      <c r="H100" s="9"/>
      <c r="I100" s="9"/>
      <c r="J100" s="9"/>
      <c r="K100" s="93">
        <f>+F100-I100+J100-H100</f>
        <v>140</v>
      </c>
      <c r="L100" s="64">
        <v>140</v>
      </c>
      <c r="M100" s="275">
        <f>+K100-L100</f>
        <v>0</v>
      </c>
      <c r="N100" s="275"/>
      <c r="O100" s="275"/>
      <c r="P100" s="253"/>
      <c r="Q100" s="293"/>
      <c r="R100" s="5"/>
      <c r="S100" s="8"/>
      <c r="T100" s="8"/>
      <c r="U100" s="8"/>
      <c r="V100" s="8"/>
      <c r="W100" s="8"/>
      <c r="X100" s="8"/>
      <c r="Y100" s="8"/>
      <c r="Z100" s="8">
        <v>1</v>
      </c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194">
        <f>IF($G100="Youth 0-3",1,0)</f>
        <v>0</v>
      </c>
      <c r="AY100" s="194">
        <f>IF($G100="Youth 4-11",1,0)</f>
        <v>0</v>
      </c>
      <c r="AZ100" s="194">
        <f>IF($G100="Youth 12-15",1,0)</f>
        <v>0</v>
      </c>
      <c r="BA100" s="194">
        <f>IF($G100="Addict",1,0)</f>
        <v>1</v>
      </c>
      <c r="BB100" s="194">
        <f>IF($G100="Non-Addict",1,0)</f>
        <v>0</v>
      </c>
      <c r="BC100" s="194">
        <f>IF($G100="Free Reg Certificate",1,0)</f>
        <v>0</v>
      </c>
      <c r="BD100" s="194">
        <f>IF($G100="Newcomer",1,0)</f>
        <v>0</v>
      </c>
      <c r="BE100" s="194">
        <f>IF($G100="Committee",1,0)</f>
        <v>0</v>
      </c>
      <c r="BF100" s="194">
        <f>IF($G100="Treatment",1,0)</f>
        <v>0</v>
      </c>
      <c r="BG100" s="194">
        <f>IF($G100="Meeting Sponsored",1,0)</f>
        <v>0</v>
      </c>
      <c r="BH100" s="194">
        <f>IF($G100="Programming",1,0)</f>
        <v>0</v>
      </c>
      <c r="BI100" s="194">
        <f>IF($G100="Hardship",1,0)</f>
        <v>0</v>
      </c>
      <c r="BJ100" s="194">
        <f>IF($G100="Refund",1,0)</f>
        <v>0</v>
      </c>
      <c r="BK100" s="194">
        <f>IF($G100="Vermilion Bucks",1,0)</f>
        <v>0</v>
      </c>
      <c r="BL100" s="194">
        <f>IF($G100="Other",1,0)</f>
        <v>0</v>
      </c>
      <c r="BM100" s="286"/>
      <c r="BN100" s="286"/>
      <c r="BO100" s="286">
        <f>SUM(AX100:BL100)</f>
        <v>1</v>
      </c>
      <c r="BP100" s="287">
        <f>SUM(R100:AW100)</f>
        <v>1</v>
      </c>
      <c r="BQ100" s="287">
        <f>+BO100+BP100</f>
        <v>2</v>
      </c>
    </row>
    <row r="101" spans="1:85" s="7" customFormat="1" x14ac:dyDescent="0.2">
      <c r="A101" s="294" t="s">
        <v>482</v>
      </c>
      <c r="B101" s="177"/>
      <c r="C101" s="5">
        <v>40</v>
      </c>
      <c r="D101" s="6">
        <v>39894</v>
      </c>
      <c r="E101" s="284">
        <f>IF($D101 = 0,0,DATEDIF($D101,$D$7,"D"))</f>
        <v>4556</v>
      </c>
      <c r="F101" s="193">
        <f>((R101*$R$2)+(S101*$S$2)+(T101*$T$2)++(U101*$U$2)++(V101*$V$2)++(W101*$W$2)++(X101*$X$2)++(Y101*$Y$2)+(Z101*$Z$2)+(AA101*$AA$2)+(AB101*$AB$2)+(AC101*$AC$2)+(AD101*$AD$2)+(AE101*$AE$2)+(AF101*$AF$2)+(AG101*$AG$2)+(AH101*$AH$2)+(AI101*$AI$2)+(AJ101*$AJ$2)+(AK101*$AK$2)+(AL101*$AL$2)+(AM101*$AM$2)+(AN101*$AN$2)+(AO101*$AO$2)+(AP101*$AP$2)+(AQ101*$AQ$2)+(AR101*$AR$2)+(AS101*$AS$2)+(AT101*$AT$2)+(AU101*$AU$2)+(AV101*$AV$2)+(AW101*$AW$2))</f>
        <v>50</v>
      </c>
      <c r="G101" s="8" t="s">
        <v>38</v>
      </c>
      <c r="H101" s="9"/>
      <c r="I101" s="9"/>
      <c r="J101" s="9">
        <v>20</v>
      </c>
      <c r="K101" s="93">
        <f>+F101-I101+J101-H101</f>
        <v>70</v>
      </c>
      <c r="L101" s="64">
        <v>70</v>
      </c>
      <c r="M101" s="275">
        <f>+K101-L101</f>
        <v>0</v>
      </c>
      <c r="N101" s="275"/>
      <c r="O101" s="275"/>
      <c r="P101" s="253"/>
      <c r="Q101" s="293"/>
      <c r="R101" s="5">
        <v>1</v>
      </c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194">
        <f>IF($G101="Youth 0-3",1,0)</f>
        <v>0</v>
      </c>
      <c r="AY101" s="194">
        <f>IF($G101="Youth 4-11",1,0)</f>
        <v>0</v>
      </c>
      <c r="AZ101" s="194">
        <f>IF($G101="Youth 12-15",1,0)</f>
        <v>0</v>
      </c>
      <c r="BA101" s="194">
        <f>IF($G101="Addict",1,0)</f>
        <v>1</v>
      </c>
      <c r="BB101" s="194">
        <f>IF($G101="Non-Addict",1,0)</f>
        <v>0</v>
      </c>
      <c r="BC101" s="194">
        <f>IF($G101="Free Reg Certificate",1,0)</f>
        <v>0</v>
      </c>
      <c r="BD101" s="194">
        <f>IF($G101="Newcomer",1,0)</f>
        <v>0</v>
      </c>
      <c r="BE101" s="194">
        <f>IF($G101="Committee",1,0)</f>
        <v>0</v>
      </c>
      <c r="BF101" s="194">
        <f>IF($G101="Treatment",1,0)</f>
        <v>0</v>
      </c>
      <c r="BG101" s="194">
        <f>IF($G101="Meeting Sponsored",1,0)</f>
        <v>0</v>
      </c>
      <c r="BH101" s="194">
        <f>IF($G101="Programming",1,0)</f>
        <v>0</v>
      </c>
      <c r="BI101" s="194">
        <f>IF($G101="Hardship",1,0)</f>
        <v>0</v>
      </c>
      <c r="BJ101" s="194">
        <f>IF($G101="Refund",1,0)</f>
        <v>0</v>
      </c>
      <c r="BK101" s="194">
        <f>IF($G101="Vermilion Bucks",1,0)</f>
        <v>0</v>
      </c>
      <c r="BL101" s="194">
        <f>IF($G101="Other",1,0)</f>
        <v>0</v>
      </c>
      <c r="BM101" s="286"/>
      <c r="BN101" s="286"/>
      <c r="BO101" s="286">
        <f>SUM(AX101:BL101)</f>
        <v>1</v>
      </c>
      <c r="BP101" s="287">
        <f>SUM(R101:AW101)</f>
        <v>1</v>
      </c>
      <c r="BQ101" s="287">
        <f>+BO101+BP101</f>
        <v>2</v>
      </c>
    </row>
    <row r="102" spans="1:85" s="7" customFormat="1" x14ac:dyDescent="0.2">
      <c r="A102" s="294" t="s">
        <v>366</v>
      </c>
      <c r="B102" s="283" t="s">
        <v>464</v>
      </c>
      <c r="C102" s="5">
        <v>92</v>
      </c>
      <c r="D102" s="6">
        <v>44415</v>
      </c>
      <c r="E102" s="284">
        <f>IF($D102 = 0,0,DATEDIF($D102,$D$7,"D"))</f>
        <v>35</v>
      </c>
      <c r="F102" s="193">
        <f>((R102*$R$2)+(S102*$S$2)+(T102*$T$2)++(U102*$U$2)++(V102*$V$2)++(W102*$W$2)++(X102*$X$2)++(Y102*$Y$2)+(Z102*$Z$2)+(AA102*$AA$2)+(AB102*$AB$2)+(AC102*$AC$2)+(AD102*$AD$2)+(AE102*$AE$2)+(AF102*$AF$2)+(AG102*$AG$2)+(AH102*$AH$2)+(AI102*$AI$2)+(AJ102*$AJ$2)+(AK102*$AK$2)+(AL102*$AL$2)+(AM102*$AM$2)+(AN102*$AN$2)+(AO102*$AO$2)+(AP102*$AP$2)+(AQ102*$AQ$2)+(AR102*$AR$2)+(AS102*$AS$2)+(AT102*$AT$2)+(AU102*$AU$2)+(AV102*$AV$2)+(AW102*$AW$2))</f>
        <v>125</v>
      </c>
      <c r="G102" s="8" t="s">
        <v>27</v>
      </c>
      <c r="H102" s="9">
        <v>25</v>
      </c>
      <c r="I102" s="9"/>
      <c r="J102" s="9"/>
      <c r="K102" s="93">
        <f>+F102-I102+J102-H102</f>
        <v>100</v>
      </c>
      <c r="L102" s="64">
        <v>100</v>
      </c>
      <c r="M102" s="275">
        <f>+K102-L102</f>
        <v>0</v>
      </c>
      <c r="N102" s="275"/>
      <c r="O102" s="275"/>
      <c r="P102" s="253"/>
      <c r="Q102" s="293"/>
      <c r="R102" s="5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>
        <v>1</v>
      </c>
      <c r="AO102" s="8"/>
      <c r="AP102" s="8"/>
      <c r="AQ102" s="8"/>
      <c r="AR102" s="8"/>
      <c r="AS102" s="8"/>
      <c r="AT102" s="8"/>
      <c r="AU102" s="8"/>
      <c r="AV102" s="8"/>
      <c r="AW102" s="8"/>
      <c r="AX102" s="194">
        <f>IF($G102="Youth 0-3",1,0)</f>
        <v>0</v>
      </c>
      <c r="AY102" s="194">
        <f>IF($G102="Youth 4-11",1,0)</f>
        <v>0</v>
      </c>
      <c r="AZ102" s="194">
        <f>IF($G102="Youth 12-15",1,0)</f>
        <v>0</v>
      </c>
      <c r="BA102" s="194">
        <f>IF($G102="Addict",1,0)</f>
        <v>0</v>
      </c>
      <c r="BB102" s="194">
        <f>IF($G102="Non-Addict",1,0)</f>
        <v>0</v>
      </c>
      <c r="BC102" s="194">
        <f>IF($G102="Free Reg Certificate",1,0)</f>
        <v>0</v>
      </c>
      <c r="BD102" s="194">
        <f>IF($G102="Newcomer",1,0)</f>
        <v>1</v>
      </c>
      <c r="BE102" s="194">
        <f>IF($G102="Committee",1,0)</f>
        <v>0</v>
      </c>
      <c r="BF102" s="194">
        <f>IF($G102="Treatment",1,0)</f>
        <v>0</v>
      </c>
      <c r="BG102" s="194">
        <f>IF($G102="Meeting Sponsored",1,0)</f>
        <v>0</v>
      </c>
      <c r="BH102" s="194">
        <f>IF($G102="Programming",1,0)</f>
        <v>0</v>
      </c>
      <c r="BI102" s="194">
        <f>IF($G102="Hardship",1,0)</f>
        <v>0</v>
      </c>
      <c r="BJ102" s="194">
        <f>IF($G102="Refund",1,0)</f>
        <v>0</v>
      </c>
      <c r="BK102" s="194">
        <f>IF($G102="Vermilion Bucks",1,0)</f>
        <v>0</v>
      </c>
      <c r="BL102" s="194">
        <f>IF($G102="Other",1,0)</f>
        <v>0</v>
      </c>
      <c r="BM102" s="286"/>
      <c r="BN102" s="286"/>
      <c r="BO102" s="286">
        <f>SUM(AX102:BL102)</f>
        <v>1</v>
      </c>
      <c r="BP102" s="287">
        <f>SUM(R102:AW102)</f>
        <v>1</v>
      </c>
      <c r="BQ102" s="287">
        <f>+BO102+BP102</f>
        <v>2</v>
      </c>
    </row>
    <row r="103" spans="1:85" s="7" customFormat="1" x14ac:dyDescent="0.2">
      <c r="A103" s="294" t="s">
        <v>505</v>
      </c>
      <c r="B103" s="177"/>
      <c r="C103" s="5">
        <v>265</v>
      </c>
      <c r="D103" s="6">
        <v>44417</v>
      </c>
      <c r="E103" s="284">
        <f>IF($D103 = 0,0,DATEDIF($D103,$D$7,"D"))</f>
        <v>33</v>
      </c>
      <c r="F103" s="193">
        <f>((R103*$R$2)+(S103*$S$2)+(T103*$T$2)++(U103*$U$2)++(V103*$V$2)++(W103*$W$2)++(X103*$X$2)++(Y103*$Y$2)+(Z103*$Z$2)+(AA103*$AA$2)+(AB103*$AB$2)+(AC103*$AC$2)+(AD103*$AD$2)+(AE103*$AE$2)+(AF103*$AF$2)+(AG103*$AG$2)+(AH103*$AH$2)+(AI103*$AI$2)+(AJ103*$AJ$2)+(AK103*$AK$2)+(AL103*$AL$2)+(AM103*$AM$2)+(AN103*$AN$2)+(AO103*$AO$2)+(AP103*$AP$2)+(AQ103*$AQ$2)+(AR103*$AR$2)+(AS103*$AS$2)+(AT103*$AT$2)+(AU103*$AU$2)+(AV103*$AV$2)+(AW103*$AW$2))</f>
        <v>50</v>
      </c>
      <c r="G103" s="8" t="s">
        <v>27</v>
      </c>
      <c r="H103" s="9">
        <v>50</v>
      </c>
      <c r="I103" s="9"/>
      <c r="J103" s="9"/>
      <c r="K103" s="93">
        <f>+F103-I103+J103-H103</f>
        <v>0</v>
      </c>
      <c r="L103" s="64">
        <v>0</v>
      </c>
      <c r="M103" s="275">
        <f>+K103-L103</f>
        <v>0</v>
      </c>
      <c r="N103" s="275"/>
      <c r="O103" s="275"/>
      <c r="P103" s="253"/>
      <c r="Q103" s="293"/>
      <c r="R103" s="5">
        <v>1</v>
      </c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194">
        <f>IF($G103="Youth 0-3",1,0)</f>
        <v>0</v>
      </c>
      <c r="AY103" s="194">
        <f>IF($G103="Youth 4-11",1,0)</f>
        <v>0</v>
      </c>
      <c r="AZ103" s="194">
        <f>IF($G103="Youth 12-15",1,0)</f>
        <v>0</v>
      </c>
      <c r="BA103" s="194">
        <f>IF($G103="Addict",1,0)</f>
        <v>0</v>
      </c>
      <c r="BB103" s="194">
        <f>IF($G103="Non-Addict",1,0)</f>
        <v>0</v>
      </c>
      <c r="BC103" s="194">
        <f>IF($G103="Free Reg Certificate",1,0)</f>
        <v>0</v>
      </c>
      <c r="BD103" s="194">
        <f>IF($G103="Newcomer",1,0)</f>
        <v>1</v>
      </c>
      <c r="BE103" s="194">
        <f>IF($G103="Committee",1,0)</f>
        <v>0</v>
      </c>
      <c r="BF103" s="194">
        <f>IF($G103="Treatment",1,0)</f>
        <v>0</v>
      </c>
      <c r="BG103" s="194">
        <f>IF($G103="Meeting Sponsored",1,0)</f>
        <v>0</v>
      </c>
      <c r="BH103" s="194">
        <f>IF($G103="Programming",1,0)</f>
        <v>0</v>
      </c>
      <c r="BI103" s="194">
        <f>IF($G103="Hardship",1,0)</f>
        <v>0</v>
      </c>
      <c r="BJ103" s="194">
        <f>IF($G103="Refund",1,0)</f>
        <v>0</v>
      </c>
      <c r="BK103" s="194">
        <f>IF($G103="Vermilion Bucks",1,0)</f>
        <v>0</v>
      </c>
      <c r="BL103" s="194">
        <f>IF($G103="Other",1,0)</f>
        <v>0</v>
      </c>
      <c r="BM103" s="286"/>
      <c r="BN103" s="286"/>
      <c r="BO103" s="286">
        <f>SUM(AX103:BL103)</f>
        <v>1</v>
      </c>
      <c r="BP103" s="287">
        <f>SUM(R103:AW103)</f>
        <v>1</v>
      </c>
      <c r="BQ103" s="287">
        <f>+BO103+BP103</f>
        <v>2</v>
      </c>
    </row>
    <row r="104" spans="1:85" s="7" customFormat="1" x14ac:dyDescent="0.2">
      <c r="A104" s="294" t="s">
        <v>360</v>
      </c>
      <c r="B104" s="177"/>
      <c r="C104" s="5">
        <v>265</v>
      </c>
      <c r="D104" s="6">
        <v>39358</v>
      </c>
      <c r="E104" s="284">
        <f>IF($D104 = 0,0,DATEDIF($D104,$D$7,"D"))</f>
        <v>5092</v>
      </c>
      <c r="F104" s="193">
        <f>((R104*$R$2)+(S104*$S$2)+(T104*$T$2)++(U104*$U$2)++(V104*$V$2)++(W104*$W$2)++(X104*$X$2)++(Y104*$Y$2)+(Z104*$Z$2)+(AA104*$AA$2)+(AB104*$AB$2)+(AC104*$AC$2)+(AD104*$AD$2)+(AE104*$AE$2)+(AF104*$AF$2)+(AG104*$AG$2)+(AH104*$AH$2)+(AI104*$AI$2)+(AJ104*$AJ$2)+(AK104*$AK$2)+(AL104*$AL$2)+(AM104*$AM$2)+(AN104*$AN$2)+(AO104*$AO$2)+(AP104*$AP$2)+(AQ104*$AQ$2)+(AR104*$AR$2)+(AS104*$AS$2)+(AT104*$AT$2)+(AU104*$AU$2)+(AV104*$AV$2)+(AW104*$AW$2))</f>
        <v>125</v>
      </c>
      <c r="G104" s="8" t="s">
        <v>38</v>
      </c>
      <c r="H104" s="9"/>
      <c r="I104" s="9"/>
      <c r="J104" s="9"/>
      <c r="K104" s="93">
        <f>+F104-I104+J104-H104</f>
        <v>125</v>
      </c>
      <c r="L104" s="64">
        <v>125</v>
      </c>
      <c r="M104" s="275">
        <f>+K104-L104</f>
        <v>0</v>
      </c>
      <c r="N104" s="275"/>
      <c r="O104" s="275"/>
      <c r="P104" s="253"/>
      <c r="Q104" s="293"/>
      <c r="R104" s="5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>
        <v>1</v>
      </c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194">
        <f>IF($G104="Youth 0-3",1,0)</f>
        <v>0</v>
      </c>
      <c r="AY104" s="194">
        <f>IF($G104="Youth 4-11",1,0)</f>
        <v>0</v>
      </c>
      <c r="AZ104" s="194">
        <f>IF($G104="Youth 12-15",1,0)</f>
        <v>0</v>
      </c>
      <c r="BA104" s="194">
        <f>IF($G104="Addict",1,0)</f>
        <v>1</v>
      </c>
      <c r="BB104" s="194">
        <f>IF($G104="Non-Addict",1,0)</f>
        <v>0</v>
      </c>
      <c r="BC104" s="194">
        <f>IF($G104="Free Reg Certificate",1,0)</f>
        <v>0</v>
      </c>
      <c r="BD104" s="194">
        <f>IF($G104="Newcomer",1,0)</f>
        <v>0</v>
      </c>
      <c r="BE104" s="194">
        <f>IF($G104="Committee",1,0)</f>
        <v>0</v>
      </c>
      <c r="BF104" s="194">
        <f>IF($G104="Treatment",1,0)</f>
        <v>0</v>
      </c>
      <c r="BG104" s="194">
        <f>IF($G104="Meeting Sponsored",1,0)</f>
        <v>0</v>
      </c>
      <c r="BH104" s="194">
        <f>IF($G104="Programming",1,0)</f>
        <v>0</v>
      </c>
      <c r="BI104" s="194">
        <f>IF($G104="Hardship",1,0)</f>
        <v>0</v>
      </c>
      <c r="BJ104" s="194">
        <f>IF($G104="Refund",1,0)</f>
        <v>0</v>
      </c>
      <c r="BK104" s="194">
        <f>IF($G104="Vermilion Bucks",1,0)</f>
        <v>0</v>
      </c>
      <c r="BL104" s="194">
        <f>IF($G104="Other",1,0)</f>
        <v>0</v>
      </c>
      <c r="BM104" s="286"/>
      <c r="BN104" s="286"/>
      <c r="BO104" s="286">
        <f>SUM(AX104:BL104)</f>
        <v>1</v>
      </c>
      <c r="BP104" s="287">
        <f>SUM(R104:AW104)</f>
        <v>1</v>
      </c>
      <c r="BQ104" s="287">
        <f>+BO104+BP104</f>
        <v>2</v>
      </c>
    </row>
    <row r="105" spans="1:85" s="7" customFormat="1" x14ac:dyDescent="0.2">
      <c r="A105" s="294" t="s">
        <v>493</v>
      </c>
      <c r="B105" s="283" t="s">
        <v>494</v>
      </c>
      <c r="C105" s="5">
        <v>105</v>
      </c>
      <c r="D105" s="6">
        <v>44096</v>
      </c>
      <c r="E105" s="284">
        <f>IF($D105 = 0,0,DATEDIF($D105,$D$7,"D"))</f>
        <v>354</v>
      </c>
      <c r="F105" s="193">
        <f>((R105*$R$2)+(S105*$S$2)+(T105*$T$2)++(U105*$U$2)++(V105*$V$2)++(W105*$W$2)++(X105*$X$2)++(Y105*$Y$2)+(Z105*$Z$2)+(AA105*$AA$2)+(AB105*$AB$2)+(AC105*$AC$2)+(AD105*$AD$2)+(AE105*$AE$2)+(AF105*$AF$2)+(AG105*$AG$2)+(AH105*$AH$2)+(AI105*$AI$2)+(AJ105*$AJ$2)+(AK105*$AK$2)+(AL105*$AL$2)+(AM105*$AM$2)+(AN105*$AN$2)+(AO105*$AO$2)+(AP105*$AP$2)+(AQ105*$AQ$2)+(AR105*$AR$2)+(AS105*$AS$2)+(AT105*$AT$2)+(AU105*$AU$2)+(AV105*$AV$2)+(AW105*$AW$2))</f>
        <v>50</v>
      </c>
      <c r="G105" s="8" t="s">
        <v>38</v>
      </c>
      <c r="H105" s="9"/>
      <c r="I105" s="9"/>
      <c r="J105" s="9"/>
      <c r="K105" s="93">
        <v>50</v>
      </c>
      <c r="L105" s="64">
        <v>50</v>
      </c>
      <c r="M105" s="275">
        <f>+K105-L105</f>
        <v>0</v>
      </c>
      <c r="N105" s="275"/>
      <c r="O105" s="275"/>
      <c r="P105" s="253"/>
      <c r="Q105" s="293"/>
      <c r="R105" s="5">
        <v>1</v>
      </c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194">
        <f>IF($G105="Youth 0-3",1,0)</f>
        <v>0</v>
      </c>
      <c r="AY105" s="194">
        <f>IF($G105="Youth 4-11",1,0)</f>
        <v>0</v>
      </c>
      <c r="AZ105" s="194">
        <f>IF($G105="Youth 12-15",1,0)</f>
        <v>0</v>
      </c>
      <c r="BA105" s="194">
        <f>IF($G105="Addict",1,0)</f>
        <v>1</v>
      </c>
      <c r="BB105" s="194">
        <f>IF($G105="Non-Addict",1,0)</f>
        <v>0</v>
      </c>
      <c r="BC105" s="194">
        <f>IF($G105="Free Reg Certificate",1,0)</f>
        <v>0</v>
      </c>
      <c r="BD105" s="194">
        <f>IF($G105="Newcomer",1,0)</f>
        <v>0</v>
      </c>
      <c r="BE105" s="194">
        <f>IF($G105="Committee",1,0)</f>
        <v>0</v>
      </c>
      <c r="BF105" s="194">
        <f>IF($G105="Treatment",1,0)</f>
        <v>0</v>
      </c>
      <c r="BG105" s="194">
        <f>IF($G105="Meeting Sponsored",1,0)</f>
        <v>0</v>
      </c>
      <c r="BH105" s="194">
        <f>IF($G105="Programming",1,0)</f>
        <v>0</v>
      </c>
      <c r="BI105" s="194">
        <f>IF($G105="Hardship",1,0)</f>
        <v>0</v>
      </c>
      <c r="BJ105" s="194">
        <f>IF($G105="Refund",1,0)</f>
        <v>0</v>
      </c>
      <c r="BK105" s="194">
        <f>IF($G105="Vermilion Bucks",1,0)</f>
        <v>0</v>
      </c>
      <c r="BL105" s="194">
        <f>IF($G105="Other",1,0)</f>
        <v>0</v>
      </c>
      <c r="BM105" s="286"/>
      <c r="BN105" s="286"/>
      <c r="BO105" s="286">
        <f>SUM(AX105:BL105)</f>
        <v>1</v>
      </c>
      <c r="BP105" s="287">
        <f>SUM(R105:AW105)</f>
        <v>1</v>
      </c>
      <c r="BQ105" s="287">
        <f>+BO105+BP105</f>
        <v>2</v>
      </c>
      <c r="BR105" s="241"/>
      <c r="BS105" s="241"/>
      <c r="BT105" s="241"/>
      <c r="BU105" s="241"/>
      <c r="BV105" s="241"/>
      <c r="BW105" s="241"/>
      <c r="BX105" s="241"/>
      <c r="BY105" s="241"/>
      <c r="BZ105" s="241"/>
      <c r="CA105" s="241"/>
      <c r="CB105" s="241"/>
      <c r="CC105" s="241"/>
      <c r="CD105" s="241"/>
      <c r="CE105" s="241"/>
      <c r="CF105" s="241"/>
      <c r="CG105" s="241"/>
    </row>
    <row r="106" spans="1:85" s="7" customFormat="1" x14ac:dyDescent="0.2">
      <c r="A106" s="294" t="s">
        <v>292</v>
      </c>
      <c r="B106" s="186" t="s">
        <v>291</v>
      </c>
      <c r="C106" s="5">
        <v>233</v>
      </c>
      <c r="D106" s="6">
        <v>44310</v>
      </c>
      <c r="E106" s="284">
        <f>IF($D106 = 0,0,DATEDIF($D106,$D$7,"D"))</f>
        <v>140</v>
      </c>
      <c r="F106" s="193">
        <f>((R106*$R$2)+(S106*$S$2)+(T106*$T$2)++(U106*$U$2)++(V106*$V$2)++(W106*$W$2)++(X106*$X$2)++(Y106*$Y$2)+(Z106*$Z$2)+(AA106*$AA$2)+(AB106*$AB$2)+(AC106*$AC$2)+(AD106*$AD$2)+(AE106*$AE$2)+(AF106*$AF$2)+(AG106*$AG$2)+(AH106*$AH$2)+(AI106*$AI$2)+(AJ106*$AJ$2)+(AK106*$AK$2)+(AL106*$AL$2)+(AM106*$AM$2)+(AN106*$AN$2)+(AO106*$AO$2)+(AP106*$AP$2)+(AQ106*$AQ$2)+(AR106*$AR$2)+(AS106*$AS$2)+(AT106*$AT$2)+(AU106*$AU$2)+(AV106*$AV$2)+(AW106*$AW$2))</f>
        <v>130</v>
      </c>
      <c r="G106" s="8" t="s">
        <v>42</v>
      </c>
      <c r="H106" s="9">
        <v>125</v>
      </c>
      <c r="I106" s="9"/>
      <c r="J106" s="9"/>
      <c r="K106" s="93">
        <f>+F106-I106+J106-H106</f>
        <v>5</v>
      </c>
      <c r="L106" s="64">
        <v>5</v>
      </c>
      <c r="M106" s="253">
        <f>+K106-L106</f>
        <v>0</v>
      </c>
      <c r="N106" s="253"/>
      <c r="O106" s="253"/>
      <c r="P106" s="253"/>
      <c r="Q106" s="271"/>
      <c r="R106" s="5"/>
      <c r="S106" s="8"/>
      <c r="T106" s="8"/>
      <c r="U106" s="8"/>
      <c r="V106" s="8"/>
      <c r="W106" s="8"/>
      <c r="X106" s="8"/>
      <c r="Y106" s="8"/>
      <c r="Z106" s="8"/>
      <c r="AA106" s="8">
        <v>1</v>
      </c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194">
        <f>IF($G106="Youth 0-3",1,0)</f>
        <v>0</v>
      </c>
      <c r="AY106" s="194">
        <f>IF($G106="Youth 4-11",1,0)</f>
        <v>0</v>
      </c>
      <c r="AZ106" s="194">
        <f>IF($G106="Youth 12-15",1,0)</f>
        <v>0</v>
      </c>
      <c r="BA106" s="194">
        <f>IF($G106="Addict",1,0)</f>
        <v>0</v>
      </c>
      <c r="BB106" s="194">
        <f>IF($G106="Non-Addict",1,0)</f>
        <v>0</v>
      </c>
      <c r="BC106" s="194">
        <f>IF($G106="Free Reg Certificate",1,0)</f>
        <v>1</v>
      </c>
      <c r="BD106" s="194">
        <f>IF($G106="Newcomer",1,0)</f>
        <v>0</v>
      </c>
      <c r="BE106" s="194">
        <f>IF($G106="Committee",1,0)</f>
        <v>0</v>
      </c>
      <c r="BF106" s="194">
        <f>IF($G106="Treatment",1,0)</f>
        <v>0</v>
      </c>
      <c r="BG106" s="194">
        <f>IF($G106="Meeting Sponsored",1,0)</f>
        <v>0</v>
      </c>
      <c r="BH106" s="194">
        <f>IF($G106="Programming",1,0)</f>
        <v>0</v>
      </c>
      <c r="BI106" s="194">
        <f>IF($G106="Hardship",1,0)</f>
        <v>0</v>
      </c>
      <c r="BJ106" s="194">
        <f>IF($G106="Refund",1,0)</f>
        <v>0</v>
      </c>
      <c r="BK106" s="194">
        <f>IF($G106="Vermilion Bucks",1,0)</f>
        <v>0</v>
      </c>
      <c r="BL106" s="194">
        <f>IF($G106="Other",1,0)</f>
        <v>0</v>
      </c>
      <c r="BM106" s="286"/>
      <c r="BN106" s="286"/>
      <c r="BO106" s="286">
        <f>SUM(AX106:BL106)</f>
        <v>1</v>
      </c>
      <c r="BP106" s="287">
        <f>SUM(R106:AW106)</f>
        <v>1</v>
      </c>
      <c r="BQ106" s="287">
        <f>+BO106+BP106</f>
        <v>2</v>
      </c>
    </row>
    <row r="107" spans="1:85" s="7" customFormat="1" x14ac:dyDescent="0.2">
      <c r="A107" s="294" t="s">
        <v>425</v>
      </c>
      <c r="B107" s="283" t="s">
        <v>432</v>
      </c>
      <c r="C107" s="5">
        <v>248</v>
      </c>
      <c r="D107" s="6">
        <v>44166</v>
      </c>
      <c r="E107" s="284">
        <f>IF($D107 = 0,0,DATEDIF($D107,$D$7,"D"))</f>
        <v>284</v>
      </c>
      <c r="F107" s="193">
        <f>((R107*$R$2)+(S107*$S$2)+(T107*$T$2)++(U107*$U$2)++(V107*$V$2)++(W107*$W$2)++(X107*$X$2)++(Y107*$Y$2)+(Z107*$Z$2)+(AA107*$AA$2)+(AB107*$AB$2)+(AC107*$AC$2)+(AD107*$AD$2)+(AE107*$AE$2)+(AF107*$AF$2)+(AG107*$AG$2)+(AH107*$AH$2)+(AI107*$AI$2)+(AJ107*$AJ$2)+(AK107*$AK$2)+(AL107*$AL$2)+(AM107*$AM$2)+(AN107*$AN$2)+(AO107*$AO$2)+(AP107*$AP$2)+(AQ107*$AQ$2)+(AR107*$AR$2)+(AS107*$AS$2)+(AT107*$AT$2)+(AU107*$AU$2)+(AV107*$AV$2)+(AW107*$AW$2))</f>
        <v>125</v>
      </c>
      <c r="G107" s="8" t="s">
        <v>38</v>
      </c>
      <c r="H107" s="9"/>
      <c r="I107" s="9"/>
      <c r="J107" s="9"/>
      <c r="K107" s="93">
        <f>+F107-I107+J107-H107</f>
        <v>125</v>
      </c>
      <c r="L107" s="64">
        <v>125</v>
      </c>
      <c r="M107" s="275">
        <f>+K107-L107</f>
        <v>0</v>
      </c>
      <c r="N107" s="275"/>
      <c r="O107" s="275"/>
      <c r="P107" s="253"/>
      <c r="Q107" s="293"/>
      <c r="R107" s="5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>
        <v>1</v>
      </c>
      <c r="AU107" s="8"/>
      <c r="AV107" s="8"/>
      <c r="AW107" s="8"/>
      <c r="AX107" s="194">
        <f>IF($G107="Youth 0-3",1,0)</f>
        <v>0</v>
      </c>
      <c r="AY107" s="194">
        <f>IF($G107="Youth 4-11",1,0)</f>
        <v>0</v>
      </c>
      <c r="AZ107" s="194">
        <f>IF($G107="Youth 12-15",1,0)</f>
        <v>0</v>
      </c>
      <c r="BA107" s="194">
        <f>IF($G107="Addict",1,0)</f>
        <v>1</v>
      </c>
      <c r="BB107" s="194">
        <f>IF($G107="Non-Addict",1,0)</f>
        <v>0</v>
      </c>
      <c r="BC107" s="194">
        <f>IF($G107="Free Reg Certificate",1,0)</f>
        <v>0</v>
      </c>
      <c r="BD107" s="194">
        <f>IF($G107="Newcomer",1,0)</f>
        <v>0</v>
      </c>
      <c r="BE107" s="194">
        <f>IF($G107="Committee",1,0)</f>
        <v>0</v>
      </c>
      <c r="BF107" s="194">
        <f>IF($G107="Treatment",1,0)</f>
        <v>0</v>
      </c>
      <c r="BG107" s="194">
        <f>IF($G107="Meeting Sponsored",1,0)</f>
        <v>0</v>
      </c>
      <c r="BH107" s="194">
        <f>IF($G107="Programming",1,0)</f>
        <v>0</v>
      </c>
      <c r="BI107" s="194">
        <f>IF($G107="Hardship",1,0)</f>
        <v>0</v>
      </c>
      <c r="BJ107" s="194">
        <f>IF($G107="Refund",1,0)</f>
        <v>0</v>
      </c>
      <c r="BK107" s="194">
        <f>IF($G107="Vermilion Bucks",1,0)</f>
        <v>0</v>
      </c>
      <c r="BL107" s="194">
        <f>IF($G107="Other",1,0)</f>
        <v>0</v>
      </c>
      <c r="BM107" s="286"/>
      <c r="BN107" s="286"/>
      <c r="BO107" s="286">
        <f>SUM(AX107:BL107)</f>
        <v>1</v>
      </c>
      <c r="BP107" s="287">
        <f>SUM(R107:AW107)</f>
        <v>1</v>
      </c>
      <c r="BQ107" s="287">
        <f>+BO107+BP107</f>
        <v>2</v>
      </c>
    </row>
    <row r="108" spans="1:85" s="7" customFormat="1" x14ac:dyDescent="0.2">
      <c r="A108" s="294" t="s">
        <v>401</v>
      </c>
      <c r="B108" s="283" t="s">
        <v>402</v>
      </c>
      <c r="C108" s="5">
        <v>202</v>
      </c>
      <c r="D108" s="6">
        <v>44434</v>
      </c>
      <c r="E108" s="284">
        <f>IF($D108 = 0,0,DATEDIF($D108,$D$7,"D"))</f>
        <v>16</v>
      </c>
      <c r="F108" s="193">
        <f>((R108*$R$2)+(S108*$S$2)+(T108*$T$2)++(U108*$U$2)++(V108*$V$2)++(W108*$W$2)++(X108*$X$2)++(Y108*$Y$2)+(Z108*$Z$2)+(AA108*$AA$2)+(AB108*$AB$2)+(AC108*$AC$2)+(AD108*$AD$2)+(AE108*$AE$2)+(AF108*$AF$2)+(AG108*$AG$2)+(AH108*$AH$2)+(AI108*$AI$2)+(AJ108*$AJ$2)+(AK108*$AK$2)+(AL108*$AL$2)+(AM108*$AM$2)+(AN108*$AN$2)+(AO108*$AO$2)+(AP108*$AP$2)+(AQ108*$AQ$2)+(AR108*$AR$2)+(AS108*$AS$2)+(AT108*$AT$2)+(AU108*$AU$2)+(AV108*$AV$2)+(AW108*$AW$2))</f>
        <v>100</v>
      </c>
      <c r="G108" s="8" t="s">
        <v>27</v>
      </c>
      <c r="H108" s="9">
        <v>50</v>
      </c>
      <c r="I108" s="9"/>
      <c r="J108" s="9"/>
      <c r="K108" s="93">
        <f>+F108-I108+J108-H108</f>
        <v>50</v>
      </c>
      <c r="L108" s="64">
        <v>50</v>
      </c>
      <c r="M108" s="275">
        <f>+K108-L108</f>
        <v>0</v>
      </c>
      <c r="N108" s="275"/>
      <c r="O108" s="275"/>
      <c r="P108" s="253"/>
      <c r="Q108" s="293"/>
      <c r="R108" s="5"/>
      <c r="S108" s="8">
        <v>1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194">
        <f>IF($G108="Youth 0-3",1,0)</f>
        <v>0</v>
      </c>
      <c r="AY108" s="194">
        <f>IF($G108="Youth 4-11",1,0)</f>
        <v>0</v>
      </c>
      <c r="AZ108" s="194">
        <f>IF($G108="Youth 12-15",1,0)</f>
        <v>0</v>
      </c>
      <c r="BA108" s="194">
        <f>IF($G108="Addict",1,0)</f>
        <v>0</v>
      </c>
      <c r="BB108" s="194">
        <f>IF($G108="Non-Addict",1,0)</f>
        <v>0</v>
      </c>
      <c r="BC108" s="194">
        <f>IF($G108="Free Reg Certificate",1,0)</f>
        <v>0</v>
      </c>
      <c r="BD108" s="194">
        <f>IF($G108="Newcomer",1,0)</f>
        <v>1</v>
      </c>
      <c r="BE108" s="194">
        <f>IF($G108="Committee",1,0)</f>
        <v>0</v>
      </c>
      <c r="BF108" s="194">
        <f>IF($G108="Treatment",1,0)</f>
        <v>0</v>
      </c>
      <c r="BG108" s="194">
        <f>IF($G108="Meeting Sponsored",1,0)</f>
        <v>0</v>
      </c>
      <c r="BH108" s="194">
        <f>IF($G108="Programming",1,0)</f>
        <v>0</v>
      </c>
      <c r="BI108" s="194">
        <f>IF($G108="Hardship",1,0)</f>
        <v>0</v>
      </c>
      <c r="BJ108" s="194">
        <f>IF($G108="Refund",1,0)</f>
        <v>0</v>
      </c>
      <c r="BK108" s="194">
        <f>IF($G108="Vermilion Bucks",1,0)</f>
        <v>0</v>
      </c>
      <c r="BL108" s="194">
        <f>IF($G108="Other",1,0)</f>
        <v>0</v>
      </c>
      <c r="BM108" s="286"/>
      <c r="BN108" s="286"/>
      <c r="BO108" s="286">
        <f>SUM(AX108:BL108)</f>
        <v>1</v>
      </c>
      <c r="BP108" s="287">
        <f>SUM(R108:AW108)</f>
        <v>1</v>
      </c>
      <c r="BQ108" s="287">
        <f>+BO108+BP108</f>
        <v>2</v>
      </c>
    </row>
    <row r="109" spans="1:85" s="7" customFormat="1" ht="10.199999999999999" customHeight="1" x14ac:dyDescent="0.2">
      <c r="A109" s="294" t="s">
        <v>491</v>
      </c>
      <c r="B109" s="283" t="s">
        <v>492</v>
      </c>
      <c r="C109" s="5">
        <v>105</v>
      </c>
      <c r="D109" s="6">
        <v>42117</v>
      </c>
      <c r="E109" s="284">
        <f>IF($D109 = 0,0,DATEDIF($D109,$D$7,"D"))</f>
        <v>2333</v>
      </c>
      <c r="F109" s="193">
        <f>((R109*$R$2)+(S109*$S$2)+(T109*$T$2)++(U109*$U$2)++(V109*$V$2)++(W109*$W$2)++(X109*$X$2)++(Y109*$Y$2)+(Z109*$Z$2)+(AA109*$AA$2)+(AB109*$AB$2)+(AC109*$AC$2)+(AD109*$AD$2)+(AE109*$AE$2)+(AF109*$AF$2)+(AG109*$AG$2)+(AH109*$AH$2)+(AI109*$AI$2)+(AJ109*$AJ$2)+(AK109*$AK$2)+(AL109*$AL$2)+(AM109*$AM$2)+(AN109*$AN$2)+(AO109*$AO$2)+(AP109*$AP$2)+(AQ109*$AQ$2)+(AR109*$AR$2)+(AS109*$AS$2)+(AT109*$AT$2)+(AU109*$AU$2)+(AV109*$AV$2)+(AW109*$AW$2))</f>
        <v>50</v>
      </c>
      <c r="G109" s="8" t="s">
        <v>38</v>
      </c>
      <c r="H109" s="9"/>
      <c r="I109" s="9"/>
      <c r="J109" s="9"/>
      <c r="K109" s="93">
        <f>+F109-I109+J109-H109</f>
        <v>50</v>
      </c>
      <c r="L109" s="64">
        <v>50</v>
      </c>
      <c r="M109" s="275">
        <f>+K109-L109</f>
        <v>0</v>
      </c>
      <c r="N109" s="275"/>
      <c r="O109" s="275"/>
      <c r="P109" s="253"/>
      <c r="Q109" s="293"/>
      <c r="R109" s="5">
        <v>1</v>
      </c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194">
        <f>IF($G109="Youth 0-3",1,0)</f>
        <v>0</v>
      </c>
      <c r="AY109" s="194">
        <f>IF($G109="Youth 4-11",1,0)</f>
        <v>0</v>
      </c>
      <c r="AZ109" s="194">
        <f>IF($G109="Youth 12-15",1,0)</f>
        <v>0</v>
      </c>
      <c r="BA109" s="194">
        <f>IF($G109="Addict",1,0)</f>
        <v>1</v>
      </c>
      <c r="BB109" s="194">
        <f>IF($G109="Non-Addict",1,0)</f>
        <v>0</v>
      </c>
      <c r="BC109" s="194">
        <f>IF($G109="Free Reg Certificate",1,0)</f>
        <v>0</v>
      </c>
      <c r="BD109" s="194">
        <f>IF($G109="Newcomer",1,0)</f>
        <v>0</v>
      </c>
      <c r="BE109" s="194">
        <f>IF($G109="Committee",1,0)</f>
        <v>0</v>
      </c>
      <c r="BF109" s="194">
        <f>IF($G109="Treatment",1,0)</f>
        <v>0</v>
      </c>
      <c r="BG109" s="194">
        <f>IF($G109="Meeting Sponsored",1,0)</f>
        <v>0</v>
      </c>
      <c r="BH109" s="194">
        <f>IF($G109="Programming",1,0)</f>
        <v>0</v>
      </c>
      <c r="BI109" s="194">
        <f>IF($G109="Hardship",1,0)</f>
        <v>0</v>
      </c>
      <c r="BJ109" s="194">
        <f>IF($G109="Refund",1,0)</f>
        <v>0</v>
      </c>
      <c r="BK109" s="194">
        <f>IF($G109="Vermilion Bucks",1,0)</f>
        <v>0</v>
      </c>
      <c r="BL109" s="194">
        <f>IF($G109="Other",1,0)</f>
        <v>0</v>
      </c>
      <c r="BM109" s="286"/>
      <c r="BN109" s="286"/>
      <c r="BO109" s="286">
        <f>SUM(AX109:BL109)</f>
        <v>1</v>
      </c>
      <c r="BP109" s="287">
        <f>SUM(R109:AW109)</f>
        <v>1</v>
      </c>
      <c r="BQ109" s="287">
        <f>+BO109+BP109</f>
        <v>2</v>
      </c>
    </row>
    <row r="110" spans="1:85" s="7" customFormat="1" x14ac:dyDescent="0.2">
      <c r="A110" s="294" t="s">
        <v>370</v>
      </c>
      <c r="B110" s="177"/>
      <c r="C110" s="5">
        <v>81</v>
      </c>
      <c r="D110" s="6"/>
      <c r="E110" s="284">
        <f>IF($D110 = 0,0,DATEDIF($D110,$D$7,"D"))</f>
        <v>0</v>
      </c>
      <c r="F110" s="193">
        <f>((R110*$R$2)+(S110*$S$2)+(T110*$T$2)++(U110*$U$2)++(V110*$V$2)++(W110*$W$2)++(X110*$X$2)++(Y110*$Y$2)+(Z110*$Z$2)+(AA110*$AA$2)+(AB110*$AB$2)+(AC110*$AC$2)+(AD110*$AD$2)+(AE110*$AE$2)+(AF110*$AF$2)+(AG110*$AG$2)+(AH110*$AH$2)+(AI110*$AI$2)+(AJ110*$AJ$2)+(AK110*$AK$2)+(AL110*$AL$2)+(AM110*$AM$2)+(AN110*$AN$2)+(AO110*$AO$2)+(AP110*$AP$2)+(AQ110*$AQ$2)+(AR110*$AR$2)+(AS110*$AS$2)+(AT110*$AT$2)+(AU110*$AU$2)+(AV110*$AV$2)+(AW110*$AW$2))</f>
        <v>125</v>
      </c>
      <c r="G110" s="8" t="s">
        <v>97</v>
      </c>
      <c r="H110" s="9"/>
      <c r="I110" s="9"/>
      <c r="J110" s="9"/>
      <c r="K110" s="93">
        <f>+F110-I110+J110-H110</f>
        <v>125</v>
      </c>
      <c r="L110" s="64">
        <v>125</v>
      </c>
      <c r="M110" s="275">
        <f>+K110-L110</f>
        <v>0</v>
      </c>
      <c r="N110" s="275"/>
      <c r="O110" s="275"/>
      <c r="P110" s="253"/>
      <c r="Q110" s="293"/>
      <c r="R110" s="5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>
        <v>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194">
        <f>IF($G110="Youth 0-3",1,0)</f>
        <v>0</v>
      </c>
      <c r="AY110" s="194">
        <f>IF($G110="Youth 4-11",1,0)</f>
        <v>0</v>
      </c>
      <c r="AZ110" s="194">
        <f>IF($G110="Youth 12-15",1,0)</f>
        <v>1</v>
      </c>
      <c r="BA110" s="194">
        <f>IF($G110="Addict",1,0)</f>
        <v>0</v>
      </c>
      <c r="BB110" s="194">
        <f>IF($G110="Non-Addict",1,0)</f>
        <v>0</v>
      </c>
      <c r="BC110" s="194">
        <f>IF($G110="Free Reg Certificate",1,0)</f>
        <v>0</v>
      </c>
      <c r="BD110" s="194">
        <f>IF($G110="Newcomer",1,0)</f>
        <v>0</v>
      </c>
      <c r="BE110" s="194">
        <f>IF($G110="Committee",1,0)</f>
        <v>0</v>
      </c>
      <c r="BF110" s="194">
        <f>IF($G110="Treatment",1,0)</f>
        <v>0</v>
      </c>
      <c r="BG110" s="194">
        <f>IF($G110="Meeting Sponsored",1,0)</f>
        <v>0</v>
      </c>
      <c r="BH110" s="194">
        <f>IF($G110="Programming",1,0)</f>
        <v>0</v>
      </c>
      <c r="BI110" s="194">
        <f>IF($G110="Hardship",1,0)</f>
        <v>0</v>
      </c>
      <c r="BJ110" s="194">
        <f>IF($G110="Refund",1,0)</f>
        <v>0</v>
      </c>
      <c r="BK110" s="194">
        <f>IF($G110="Vermilion Bucks",1,0)</f>
        <v>0</v>
      </c>
      <c r="BL110" s="194">
        <f>IF($G110="Other",1,0)</f>
        <v>0</v>
      </c>
      <c r="BM110" s="286"/>
      <c r="BN110" s="286"/>
      <c r="BO110" s="286">
        <f>SUM(AX110:BL110)</f>
        <v>1</v>
      </c>
      <c r="BP110" s="287">
        <f>SUM(R110:AW110)</f>
        <v>1</v>
      </c>
      <c r="BQ110" s="287">
        <f>+BO110+BP110</f>
        <v>2</v>
      </c>
    </row>
    <row r="111" spans="1:85" s="7" customFormat="1" ht="10.199999999999999" customHeight="1" x14ac:dyDescent="0.2">
      <c r="A111" s="294" t="s">
        <v>510</v>
      </c>
      <c r="B111" s="177"/>
      <c r="C111" s="5"/>
      <c r="D111" s="6"/>
      <c r="E111" s="284">
        <f>IF($D111 = 0,0,DATEDIF($D111,$D$7,"D"))</f>
        <v>0</v>
      </c>
      <c r="F111" s="193">
        <f>((R111*$R$2)+(S111*$S$2)+(T111*$T$2)++(U111*$U$2)++(V111*$V$2)++(W111*$W$2)++(X111*$X$2)++(Y111*$Y$2)+(Z111*$Z$2)+(AA111*$AA$2)+(AB111*$AB$2)+(AC111*$AC$2)+(AD111*$AD$2)+(AE111*$AE$2)+(AF111*$AF$2)+(AG111*$AG$2)+(AH111*$AH$2)+(AI111*$AI$2)+(AJ111*$AJ$2)+(AK111*$AK$2)+(AL111*$AL$2)+(AM111*$AM$2)+(AN111*$AN$2)+(AO111*$AO$2)+(AP111*$AP$2)+(AQ111*$AQ$2)+(AR111*$AR$2)+(AS111*$AS$2)+(AT111*$AT$2)+(AU111*$AU$2)+(AV111*$AV$2)+(AW111*$AW$2))</f>
        <v>50</v>
      </c>
      <c r="G111" s="8" t="s">
        <v>96</v>
      </c>
      <c r="H111" s="9"/>
      <c r="I111" s="9">
        <v>50</v>
      </c>
      <c r="J111" s="9"/>
      <c r="K111" s="93">
        <f>+F111-I111+J111-H111</f>
        <v>0</v>
      </c>
      <c r="L111" s="64"/>
      <c r="M111" s="275">
        <f>+K111-L111</f>
        <v>0</v>
      </c>
      <c r="N111" s="275"/>
      <c r="O111" s="275"/>
      <c r="P111" s="253"/>
      <c r="Q111" s="293"/>
      <c r="R111" s="5">
        <v>1</v>
      </c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194">
        <f>IF($G111="Youth 0-3",1,0)</f>
        <v>1</v>
      </c>
      <c r="AY111" s="194">
        <f>IF($G111="Youth 4-11",1,0)</f>
        <v>0</v>
      </c>
      <c r="AZ111" s="194">
        <f>IF($G111="Youth 12-15",1,0)</f>
        <v>0</v>
      </c>
      <c r="BA111" s="194">
        <f>IF($G111="Addict",1,0)</f>
        <v>0</v>
      </c>
      <c r="BB111" s="194">
        <f>IF($G111="Non-Addict",1,0)</f>
        <v>0</v>
      </c>
      <c r="BC111" s="194">
        <f>IF($G111="Free Reg Certificate",1,0)</f>
        <v>0</v>
      </c>
      <c r="BD111" s="194">
        <f>IF($G111="Newcomer",1,0)</f>
        <v>0</v>
      </c>
      <c r="BE111" s="194">
        <f>IF($G111="Committee",1,0)</f>
        <v>0</v>
      </c>
      <c r="BF111" s="194">
        <f>IF($G111="Treatment",1,0)</f>
        <v>0</v>
      </c>
      <c r="BG111" s="194">
        <f>IF($G111="Meeting Sponsored",1,0)</f>
        <v>0</v>
      </c>
      <c r="BH111" s="194">
        <f>IF($G111="Programming",1,0)</f>
        <v>0</v>
      </c>
      <c r="BI111" s="194">
        <f>IF($G111="Hardship",1,0)</f>
        <v>0</v>
      </c>
      <c r="BJ111" s="194">
        <f>IF($G111="Refund",1,0)</f>
        <v>0</v>
      </c>
      <c r="BK111" s="194">
        <f>IF($G111="Vermilion Bucks",1,0)</f>
        <v>0</v>
      </c>
      <c r="BL111" s="194">
        <f>IF($G111="Other",1,0)</f>
        <v>0</v>
      </c>
      <c r="BM111" s="286"/>
      <c r="BN111" s="286"/>
      <c r="BO111" s="286">
        <f>SUM(AX111:BL111)</f>
        <v>1</v>
      </c>
      <c r="BP111" s="287">
        <f>SUM(R111:AW111)</f>
        <v>1</v>
      </c>
      <c r="BQ111" s="287">
        <f>+BO111+BP111</f>
        <v>2</v>
      </c>
    </row>
    <row r="112" spans="1:85" s="7" customFormat="1" ht="10.199999999999999" customHeight="1" x14ac:dyDescent="0.2">
      <c r="A112" s="294" t="s">
        <v>436</v>
      </c>
      <c r="B112" s="283" t="s">
        <v>437</v>
      </c>
      <c r="C112" s="5">
        <v>79</v>
      </c>
      <c r="D112" s="6">
        <v>44448</v>
      </c>
      <c r="E112" s="284">
        <f>IF($D112 = 0,0,DATEDIF($D112,$D$7,"D"))</f>
        <v>2</v>
      </c>
      <c r="F112" s="193">
        <f>((R112*$R$2)+(S112*$S$2)+(T112*$T$2)++(U112*$U$2)++(V112*$V$2)++(W112*$W$2)++(X112*$X$2)++(Y112*$Y$2)+(Z112*$Z$2)+(AA112*$AA$2)+(AB112*$AB$2)+(AC112*$AC$2)+(AD112*$AD$2)+(AE112*$AE$2)+(AF112*$AF$2)+(AG112*$AG$2)+(AH112*$AH$2)+(AI112*$AI$2)+(AJ112*$AJ$2)+(AK112*$AK$2)+(AL112*$AL$2)+(AM112*$AM$2)+(AN112*$AN$2)+(AO112*$AO$2)+(AP112*$AP$2)+(AQ112*$AQ$2)+(AR112*$AR$2)+(AS112*$AS$2)+(AT112*$AT$2)+(AU112*$AU$2)+(AV112*$AV$2)+(AW112*$AW$2))</f>
        <v>100</v>
      </c>
      <c r="G112" s="8" t="s">
        <v>27</v>
      </c>
      <c r="H112" s="9">
        <v>50</v>
      </c>
      <c r="I112" s="9"/>
      <c r="J112" s="9"/>
      <c r="K112" s="93">
        <f>+F112-I112+J112-H112</f>
        <v>50</v>
      </c>
      <c r="L112" s="64">
        <v>50</v>
      </c>
      <c r="M112" s="275">
        <f>+K112-L112</f>
        <v>0</v>
      </c>
      <c r="N112" s="275"/>
      <c r="O112" s="275"/>
      <c r="P112" s="253"/>
      <c r="Q112" s="293"/>
      <c r="R112" s="5"/>
      <c r="S112" s="8">
        <v>1</v>
      </c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194">
        <f>IF($G112="Youth 0-3",1,0)</f>
        <v>0</v>
      </c>
      <c r="AY112" s="194">
        <f>IF($G112="Youth 4-11",1,0)</f>
        <v>0</v>
      </c>
      <c r="AZ112" s="194">
        <f>IF($G112="Youth 12-15",1,0)</f>
        <v>0</v>
      </c>
      <c r="BA112" s="194">
        <f>IF($G112="Addict",1,0)</f>
        <v>0</v>
      </c>
      <c r="BB112" s="194">
        <f>IF($G112="Non-Addict",1,0)</f>
        <v>0</v>
      </c>
      <c r="BC112" s="194">
        <f>IF($G112="Free Reg Certificate",1,0)</f>
        <v>0</v>
      </c>
      <c r="BD112" s="194">
        <f>IF($G112="Newcomer",1,0)</f>
        <v>1</v>
      </c>
      <c r="BE112" s="194">
        <f>IF($G112="Committee",1,0)</f>
        <v>0</v>
      </c>
      <c r="BF112" s="194">
        <f>IF($G112="Treatment",1,0)</f>
        <v>0</v>
      </c>
      <c r="BG112" s="194">
        <f>IF($G112="Meeting Sponsored",1,0)</f>
        <v>0</v>
      </c>
      <c r="BH112" s="194">
        <f>IF($G112="Programming",1,0)</f>
        <v>0</v>
      </c>
      <c r="BI112" s="194">
        <f>IF($G112="Hardship",1,0)</f>
        <v>0</v>
      </c>
      <c r="BJ112" s="194">
        <f>IF($G112="Refund",1,0)</f>
        <v>0</v>
      </c>
      <c r="BK112" s="194">
        <f>IF($G112="Vermilion Bucks",1,0)</f>
        <v>0</v>
      </c>
      <c r="BL112" s="194">
        <f>IF($G112="Other",1,0)</f>
        <v>0</v>
      </c>
      <c r="BM112" s="286"/>
      <c r="BN112" s="286"/>
      <c r="BO112" s="286">
        <f>SUM(AX112:BL112)</f>
        <v>1</v>
      </c>
      <c r="BP112" s="287">
        <f>SUM(R112:AW112)</f>
        <v>1</v>
      </c>
      <c r="BQ112" s="287">
        <f>+BO112+BP112</f>
        <v>2</v>
      </c>
    </row>
    <row r="113" spans="1:69" s="7" customFormat="1" ht="10.199999999999999" customHeight="1" x14ac:dyDescent="0.2">
      <c r="A113" s="294" t="s">
        <v>372</v>
      </c>
      <c r="B113" s="177"/>
      <c r="C113" s="5">
        <v>81</v>
      </c>
      <c r="D113" s="6"/>
      <c r="E113" s="284">
        <f>IF($D113 = 0,0,DATEDIF($D113,$D$7,"D"))</f>
        <v>0</v>
      </c>
      <c r="F113" s="193">
        <f>((R113*$R$2)+(S113*$S$2)+(T113*$T$2)++(U113*$U$2)++(V113*$V$2)++(W113*$W$2)++(X113*$X$2)++(Y113*$Y$2)+(Z113*$Z$2)+(AA113*$AA$2)+(AB113*$AB$2)+(AC113*$AC$2)+(AD113*$AD$2)+(AE113*$AE$2)+(AF113*$AF$2)+(AG113*$AG$2)+(AH113*$AH$2)+(AI113*$AI$2)+(AJ113*$AJ$2)+(AK113*$AK$2)+(AL113*$AL$2)+(AM113*$AM$2)+(AN113*$AN$2)+(AO113*$AO$2)+(AP113*$AP$2)+(AQ113*$AQ$2)+(AR113*$AR$2)+(AS113*$AS$2)+(AT113*$AT$2)+(AU113*$AU$2)+(AV113*$AV$2)+(AW113*$AW$2))</f>
        <v>125</v>
      </c>
      <c r="G113" s="8" t="s">
        <v>96</v>
      </c>
      <c r="H113" s="9"/>
      <c r="I113" s="9">
        <v>125</v>
      </c>
      <c r="J113" s="9"/>
      <c r="K113" s="93">
        <f>+F113-I113+J113-H113</f>
        <v>0</v>
      </c>
      <c r="L113" s="64">
        <v>0</v>
      </c>
      <c r="M113" s="275">
        <f>+K113-L113</f>
        <v>0</v>
      </c>
      <c r="N113" s="275"/>
      <c r="O113" s="275"/>
      <c r="P113" s="253"/>
      <c r="Q113" s="293"/>
      <c r="R113" s="5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>
        <v>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194">
        <f>IF($G113="Youth 0-3",1,0)</f>
        <v>1</v>
      </c>
      <c r="AY113" s="194">
        <f>IF($G113="Youth 4-11",1,0)</f>
        <v>0</v>
      </c>
      <c r="AZ113" s="194">
        <f>IF($G113="Youth 12-15",1,0)</f>
        <v>0</v>
      </c>
      <c r="BA113" s="194">
        <f>IF($G113="Addict",1,0)</f>
        <v>0</v>
      </c>
      <c r="BB113" s="194">
        <f>IF($G113="Non-Addict",1,0)</f>
        <v>0</v>
      </c>
      <c r="BC113" s="194">
        <f>IF($G113="Free Reg Certificate",1,0)</f>
        <v>0</v>
      </c>
      <c r="BD113" s="194">
        <f>IF($G113="Newcomer",1,0)</f>
        <v>0</v>
      </c>
      <c r="BE113" s="194">
        <f>IF($G113="Committee",1,0)</f>
        <v>0</v>
      </c>
      <c r="BF113" s="194">
        <f>IF($G113="Treatment",1,0)</f>
        <v>0</v>
      </c>
      <c r="BG113" s="194">
        <f>IF($G113="Meeting Sponsored",1,0)</f>
        <v>0</v>
      </c>
      <c r="BH113" s="194">
        <f>IF($G113="Programming",1,0)</f>
        <v>0</v>
      </c>
      <c r="BI113" s="194">
        <f>IF($G113="Hardship",1,0)</f>
        <v>0</v>
      </c>
      <c r="BJ113" s="194">
        <f>IF($G113="Refund",1,0)</f>
        <v>0</v>
      </c>
      <c r="BK113" s="194">
        <f>IF($G113="Vermilion Bucks",1,0)</f>
        <v>0</v>
      </c>
      <c r="BL113" s="194">
        <f>IF($G113="Other",1,0)</f>
        <v>0</v>
      </c>
      <c r="BM113" s="286"/>
      <c r="BN113" s="286"/>
      <c r="BO113" s="286">
        <f>SUM(AX113:BL113)</f>
        <v>1</v>
      </c>
      <c r="BP113" s="287">
        <f>SUM(R113:AW113)</f>
        <v>1</v>
      </c>
      <c r="BQ113" s="287">
        <f>+BO113+BP113</f>
        <v>2</v>
      </c>
    </row>
    <row r="114" spans="1:69" s="7" customFormat="1" x14ac:dyDescent="0.2">
      <c r="A114" s="294" t="s">
        <v>422</v>
      </c>
      <c r="B114" s="177"/>
      <c r="C114" s="5">
        <v>466</v>
      </c>
      <c r="D114" s="6">
        <v>38477</v>
      </c>
      <c r="E114" s="284">
        <f>IF($D114 = 0,0,DATEDIF($D114,$D$7,"D"))</f>
        <v>5973</v>
      </c>
      <c r="F114" s="193">
        <f>((R114*$R$2)+(S114*$S$2)+(T114*$T$2)++(U114*$U$2)++(V114*$V$2)++(W114*$W$2)++(X114*$X$2)++(Y114*$Y$2)+(Z114*$Z$2)+(AA114*$AA$2)+(AB114*$AB$2)+(AC114*$AC$2)+(AD114*$AD$2)+(AE114*$AE$2)+(AF114*$AF$2)+(AG114*$AG$2)+(AH114*$AH$2)+(AI114*$AI$2)+(AJ114*$AJ$2)+(AK114*$AK$2)+(AL114*$AL$2)+(AM114*$AM$2)+(AN114*$AN$2)+(AO114*$AO$2)+(AP114*$AP$2)+(AQ114*$AQ$2)+(AR114*$AR$2)+(AS114*$AS$2)+(AT114*$AT$2)+(AU114*$AU$2)+(AV114*$AV$2)+(AW114*$AW$2))</f>
        <v>160</v>
      </c>
      <c r="G114" s="8" t="s">
        <v>38</v>
      </c>
      <c r="H114" s="9"/>
      <c r="I114" s="9"/>
      <c r="J114" s="9"/>
      <c r="K114" s="93">
        <f>+F114-I114+J114-H114</f>
        <v>160</v>
      </c>
      <c r="L114" s="64">
        <v>160</v>
      </c>
      <c r="M114" s="275">
        <f>+K114-L114</f>
        <v>0</v>
      </c>
      <c r="N114" s="275"/>
      <c r="O114" s="275"/>
      <c r="P114" s="253"/>
      <c r="Q114" s="293"/>
      <c r="R114" s="5"/>
      <c r="S114" s="8"/>
      <c r="T114" s="8"/>
      <c r="U114" s="8"/>
      <c r="V114" s="8"/>
      <c r="W114" s="8"/>
      <c r="X114" s="8">
        <v>1</v>
      </c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194">
        <f>IF($G114="Youth 0-3",1,0)</f>
        <v>0</v>
      </c>
      <c r="AY114" s="194">
        <f>IF($G114="Youth 4-11",1,0)</f>
        <v>0</v>
      </c>
      <c r="AZ114" s="194">
        <f>IF($G114="Youth 12-15",1,0)</f>
        <v>0</v>
      </c>
      <c r="BA114" s="194">
        <f>IF($G114="Addict",1,0)</f>
        <v>1</v>
      </c>
      <c r="BB114" s="194">
        <f>IF($G114="Non-Addict",1,0)</f>
        <v>0</v>
      </c>
      <c r="BC114" s="194">
        <f>IF($G114="Free Reg Certificate",1,0)</f>
        <v>0</v>
      </c>
      <c r="BD114" s="194">
        <f>IF($G114="Newcomer",1,0)</f>
        <v>0</v>
      </c>
      <c r="BE114" s="194">
        <f>IF($G114="Committee",1,0)</f>
        <v>0</v>
      </c>
      <c r="BF114" s="194">
        <f>IF($G114="Treatment",1,0)</f>
        <v>0</v>
      </c>
      <c r="BG114" s="194">
        <f>IF($G114="Meeting Sponsored",1,0)</f>
        <v>0</v>
      </c>
      <c r="BH114" s="194">
        <f>IF($G114="Programming",1,0)</f>
        <v>0</v>
      </c>
      <c r="BI114" s="194">
        <f>IF($G114="Hardship",1,0)</f>
        <v>0</v>
      </c>
      <c r="BJ114" s="194">
        <f>IF($G114="Refund",1,0)</f>
        <v>0</v>
      </c>
      <c r="BK114" s="194">
        <f>IF($G114="Vermilion Bucks",1,0)</f>
        <v>0</v>
      </c>
      <c r="BL114" s="194">
        <f>IF($G114="Other",1,0)</f>
        <v>0</v>
      </c>
      <c r="BM114" s="286"/>
      <c r="BN114" s="286"/>
      <c r="BO114" s="286">
        <f>SUM(AX114:BL114)</f>
        <v>1</v>
      </c>
      <c r="BP114" s="287">
        <f>SUM(R114:AW114)</f>
        <v>1</v>
      </c>
      <c r="BQ114" s="287">
        <f>+BO114+BP114</f>
        <v>2</v>
      </c>
    </row>
    <row r="115" spans="1:69" s="7" customFormat="1" ht="10.199999999999999" customHeight="1" x14ac:dyDescent="0.2">
      <c r="A115" s="294" t="s">
        <v>456</v>
      </c>
      <c r="B115" s="283" t="s">
        <v>459</v>
      </c>
      <c r="C115" s="5">
        <v>208</v>
      </c>
      <c r="D115" s="6">
        <v>44370</v>
      </c>
      <c r="E115" s="284">
        <f>IF($D115 = 0,0,DATEDIF($D115,$D$7,"D"))</f>
        <v>80</v>
      </c>
      <c r="F115" s="193">
        <f>((R115*$R$2)+(S115*$S$2)+(T115*$T$2)++(U115*$U$2)++(V115*$V$2)++(W115*$W$2)++(X115*$X$2)++(Y115*$Y$2)+(Z115*$Z$2)+(AA115*$AA$2)+(AB115*$AB$2)+(AC115*$AC$2)+(AD115*$AD$2)+(AE115*$AE$2)+(AF115*$AF$2)+(AG115*$AG$2)+(AH115*$AH$2)+(AI115*$AI$2)+(AJ115*$AJ$2)+(AK115*$AK$2)+(AL115*$AL$2)+(AM115*$AM$2)+(AN115*$AN$2)+(AO115*$AO$2)+(AP115*$AP$2)+(AQ115*$AQ$2)+(AR115*$AR$2)+(AS115*$AS$2)+(AT115*$AT$2)+(AU115*$AU$2)+(AV115*$AV$2)+(AW115*$AW$2))</f>
        <v>125</v>
      </c>
      <c r="G115" s="8" t="s">
        <v>27</v>
      </c>
      <c r="H115" s="9">
        <v>62.5</v>
      </c>
      <c r="I115" s="9"/>
      <c r="J115" s="9">
        <v>2.5</v>
      </c>
      <c r="K115" s="93">
        <f>+F115-I115+J115-H115</f>
        <v>65</v>
      </c>
      <c r="L115" s="64">
        <v>65</v>
      </c>
      <c r="M115" s="275">
        <f>+K115-L115</f>
        <v>0</v>
      </c>
      <c r="N115" s="275"/>
      <c r="O115" s="275"/>
      <c r="P115" s="253"/>
      <c r="Q115" s="293"/>
      <c r="R115" s="5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>
        <v>1</v>
      </c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194">
        <f>IF($G115="Youth 0-3",1,0)</f>
        <v>0</v>
      </c>
      <c r="AY115" s="194">
        <f>IF($G115="Youth 4-11",1,0)</f>
        <v>0</v>
      </c>
      <c r="AZ115" s="194">
        <f>IF($G115="Youth 12-15",1,0)</f>
        <v>0</v>
      </c>
      <c r="BA115" s="194">
        <f>IF($G115="Addict",1,0)</f>
        <v>0</v>
      </c>
      <c r="BB115" s="194">
        <f>IF($G115="Non-Addict",1,0)</f>
        <v>0</v>
      </c>
      <c r="BC115" s="194">
        <f>IF($G115="Free Reg Certificate",1,0)</f>
        <v>0</v>
      </c>
      <c r="BD115" s="194">
        <f>IF($G115="Newcomer",1,0)</f>
        <v>1</v>
      </c>
      <c r="BE115" s="194">
        <f>IF($G115="Committee",1,0)</f>
        <v>0</v>
      </c>
      <c r="BF115" s="194">
        <f>IF($G115="Treatment",1,0)</f>
        <v>0</v>
      </c>
      <c r="BG115" s="194">
        <f>IF($G115="Meeting Sponsored",1,0)</f>
        <v>0</v>
      </c>
      <c r="BH115" s="194">
        <f>IF($G115="Programming",1,0)</f>
        <v>0</v>
      </c>
      <c r="BI115" s="194">
        <f>IF($G115="Hardship",1,0)</f>
        <v>0</v>
      </c>
      <c r="BJ115" s="194">
        <f>IF($G115="Refund",1,0)</f>
        <v>0</v>
      </c>
      <c r="BK115" s="194">
        <f>IF($G115="Vermilion Bucks",1,0)</f>
        <v>0</v>
      </c>
      <c r="BL115" s="194">
        <f>IF($G115="Other",1,0)</f>
        <v>0</v>
      </c>
      <c r="BM115" s="286"/>
      <c r="BN115" s="286"/>
      <c r="BO115" s="286">
        <f>SUM(AX115:BL115)</f>
        <v>1</v>
      </c>
      <c r="BP115" s="287">
        <f>SUM(R115:AW115)</f>
        <v>1</v>
      </c>
      <c r="BQ115" s="287">
        <f>+BO115+BP115</f>
        <v>2</v>
      </c>
    </row>
    <row r="116" spans="1:69" s="7" customFormat="1" ht="10.199999999999999" customHeight="1" x14ac:dyDescent="0.2">
      <c r="A116" s="294" t="s">
        <v>477</v>
      </c>
      <c r="B116" s="283" t="s">
        <v>478</v>
      </c>
      <c r="C116" s="5">
        <v>270</v>
      </c>
      <c r="D116" s="6">
        <v>43663</v>
      </c>
      <c r="E116" s="284">
        <f>IF($D116 = 0,0,DATEDIF($D116,$D$7,"D"))</f>
        <v>787</v>
      </c>
      <c r="F116" s="193">
        <f>((R116*$R$2)+(S116*$S$2)+(T116*$T$2)++(U116*$U$2)++(V116*$V$2)++(W116*$W$2)++(X116*$X$2)++(Y116*$Y$2)+(Z116*$Z$2)+(AA116*$AA$2)+(AB116*$AB$2)+(AC116*$AC$2)+(AD116*$AD$2)+(AE116*$AE$2)+(AF116*$AF$2)+(AG116*$AG$2)+(AH116*$AH$2)+(AI116*$AI$2)+(AJ116*$AJ$2)+(AK116*$AK$2)+(AL116*$AL$2)+(AM116*$AM$2)+(AN116*$AN$2)+(AO116*$AO$2)+(AP116*$AP$2)+(AQ116*$AQ$2)+(AR116*$AR$2)+(AS116*$AS$2)+(AT116*$AT$2)+(AU116*$AU$2)+(AV116*$AV$2)+(AW116*$AW$2))</f>
        <v>125</v>
      </c>
      <c r="G116" s="8" t="s">
        <v>38</v>
      </c>
      <c r="H116" s="9"/>
      <c r="I116" s="9"/>
      <c r="J116" s="9"/>
      <c r="K116" s="93">
        <v>125</v>
      </c>
      <c r="L116" s="64">
        <v>125</v>
      </c>
      <c r="M116" s="275">
        <f>+K116-L116</f>
        <v>0</v>
      </c>
      <c r="N116" s="275"/>
      <c r="O116" s="275"/>
      <c r="P116" s="253"/>
      <c r="Q116" s="293"/>
      <c r="R116" s="5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>
        <v>1</v>
      </c>
      <c r="AR116" s="8"/>
      <c r="AS116" s="8"/>
      <c r="AT116" s="8"/>
      <c r="AU116" s="8"/>
      <c r="AV116" s="8"/>
      <c r="AW116" s="8"/>
      <c r="AX116" s="194">
        <f>IF($G116="Youth 0-3",1,0)</f>
        <v>0</v>
      </c>
      <c r="AY116" s="194">
        <f>IF($G116="Youth 4-11",1,0)</f>
        <v>0</v>
      </c>
      <c r="AZ116" s="194">
        <f>IF($G116="Youth 12-15",1,0)</f>
        <v>0</v>
      </c>
      <c r="BA116" s="194">
        <f>IF($G116="Addict",1,0)</f>
        <v>1</v>
      </c>
      <c r="BB116" s="194">
        <f>IF($G116="Non-Addict",1,0)</f>
        <v>0</v>
      </c>
      <c r="BC116" s="194">
        <f>IF($G116="Free Reg Certificate",1,0)</f>
        <v>0</v>
      </c>
      <c r="BD116" s="194">
        <f>IF($G116="Newcomer",1,0)</f>
        <v>0</v>
      </c>
      <c r="BE116" s="194">
        <f>IF($G116="Committee",1,0)</f>
        <v>0</v>
      </c>
      <c r="BF116" s="194">
        <f>IF($G116="Treatment",1,0)</f>
        <v>0</v>
      </c>
      <c r="BG116" s="194">
        <f>IF($G116="Meeting Sponsored",1,0)</f>
        <v>0</v>
      </c>
      <c r="BH116" s="194">
        <f>IF($G116="Programming",1,0)</f>
        <v>0</v>
      </c>
      <c r="BI116" s="194">
        <f>IF($G116="Hardship",1,0)</f>
        <v>0</v>
      </c>
      <c r="BJ116" s="194">
        <f>IF($G116="Refund",1,0)</f>
        <v>0</v>
      </c>
      <c r="BK116" s="194">
        <f>IF($G116="Vermilion Bucks",1,0)</f>
        <v>0</v>
      </c>
      <c r="BL116" s="194">
        <f>IF($G116="Other",1,0)</f>
        <v>0</v>
      </c>
      <c r="BM116" s="286"/>
      <c r="BN116" s="286"/>
      <c r="BO116" s="286">
        <f>SUM(AX116:BL116)</f>
        <v>1</v>
      </c>
      <c r="BP116" s="287">
        <f>SUM(R116:AW116)</f>
        <v>1</v>
      </c>
      <c r="BQ116" s="287">
        <f>+BO116+BP116</f>
        <v>2</v>
      </c>
    </row>
    <row r="117" spans="1:69" s="7" customFormat="1" ht="10.199999999999999" customHeight="1" x14ac:dyDescent="0.2">
      <c r="A117" s="294" t="s">
        <v>479</v>
      </c>
      <c r="B117" s="177"/>
      <c r="C117" s="5">
        <v>200</v>
      </c>
      <c r="D117" s="6">
        <v>40112</v>
      </c>
      <c r="E117" s="284">
        <f>IF($D117 = 0,0,DATEDIF($D117,$D$7,"D"))</f>
        <v>4338</v>
      </c>
      <c r="F117" s="193">
        <f>((R117*$R$2)+(S117*$S$2)+(T117*$T$2)++(U117*$U$2)++(V117*$V$2)++(W117*$W$2)++(X117*$X$2)++(Y117*$Y$2)+(Z117*$Z$2)+(AA117*$AA$2)+(AB117*$AB$2)+(AC117*$AC$2)+(AD117*$AD$2)+(AE117*$AE$2)+(AF117*$AF$2)+(AG117*$AG$2)+(AH117*$AH$2)+(AI117*$AI$2)+(AJ117*$AJ$2)+(AK117*$AK$2)+(AL117*$AL$2)+(AM117*$AM$2)+(AN117*$AN$2)+(AO117*$AO$2)+(AP117*$AP$2)+(AQ117*$AQ$2)+(AR117*$AR$2)+(AS117*$AS$2)+(AT117*$AT$2)+(AU117*$AU$2)+(AV117*$AV$2)+(AW117*$AW$2))</f>
        <v>140</v>
      </c>
      <c r="G117" s="8" t="s">
        <v>38</v>
      </c>
      <c r="H117" s="9"/>
      <c r="I117" s="9"/>
      <c r="J117" s="9"/>
      <c r="K117" s="93">
        <f>+F117-I117+J117-H117</f>
        <v>140</v>
      </c>
      <c r="L117" s="64">
        <v>140</v>
      </c>
      <c r="M117" s="275">
        <f>+K117-L117</f>
        <v>0</v>
      </c>
      <c r="N117" s="275"/>
      <c r="O117" s="275"/>
      <c r="P117" s="253"/>
      <c r="Q117" s="293"/>
      <c r="R117" s="5"/>
      <c r="S117" s="8"/>
      <c r="T117" s="8"/>
      <c r="U117" s="8"/>
      <c r="V117" s="8"/>
      <c r="W117" s="8"/>
      <c r="X117" s="8"/>
      <c r="Y117" s="8"/>
      <c r="Z117" s="8">
        <v>1</v>
      </c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194">
        <f>IF($G117="Youth 0-3",1,0)</f>
        <v>0</v>
      </c>
      <c r="AY117" s="194">
        <f>IF($G117="Youth 4-11",1,0)</f>
        <v>0</v>
      </c>
      <c r="AZ117" s="194">
        <f>IF($G117="Youth 12-15",1,0)</f>
        <v>0</v>
      </c>
      <c r="BA117" s="194">
        <f>IF($G117="Addict",1,0)</f>
        <v>1</v>
      </c>
      <c r="BB117" s="194">
        <f>IF($G117="Non-Addict",1,0)</f>
        <v>0</v>
      </c>
      <c r="BC117" s="194">
        <f>IF($G117="Free Reg Certificate",1,0)</f>
        <v>0</v>
      </c>
      <c r="BD117" s="194">
        <f>IF($G117="Newcomer",1,0)</f>
        <v>0</v>
      </c>
      <c r="BE117" s="194">
        <f>IF($G117="Committee",1,0)</f>
        <v>0</v>
      </c>
      <c r="BF117" s="194">
        <f>IF($G117="Treatment",1,0)</f>
        <v>0</v>
      </c>
      <c r="BG117" s="194">
        <f>IF($G117="Meeting Sponsored",1,0)</f>
        <v>0</v>
      </c>
      <c r="BH117" s="194">
        <f>IF($G117="Programming",1,0)</f>
        <v>0</v>
      </c>
      <c r="BI117" s="194">
        <f>IF($G117="Hardship",1,0)</f>
        <v>0</v>
      </c>
      <c r="BJ117" s="194">
        <f>IF($G117="Refund",1,0)</f>
        <v>0</v>
      </c>
      <c r="BK117" s="194">
        <f>IF($G117="Vermilion Bucks",1,0)</f>
        <v>0</v>
      </c>
      <c r="BL117" s="194">
        <f>IF($G117="Other",1,0)</f>
        <v>0</v>
      </c>
      <c r="BM117" s="286"/>
      <c r="BN117" s="286"/>
      <c r="BO117" s="286">
        <f>SUM(AX117:BL117)</f>
        <v>1</v>
      </c>
      <c r="BP117" s="287">
        <f>SUM(R117:AW117)</f>
        <v>1</v>
      </c>
      <c r="BQ117" s="287">
        <f>+BO117+BP117</f>
        <v>2</v>
      </c>
    </row>
    <row r="118" spans="1:69" s="7" customFormat="1" ht="10.199999999999999" customHeight="1" x14ac:dyDescent="0.2">
      <c r="A118" s="294" t="s">
        <v>394</v>
      </c>
      <c r="B118" s="177"/>
      <c r="C118" s="5">
        <v>35</v>
      </c>
      <c r="D118" s="6">
        <v>42707</v>
      </c>
      <c r="E118" s="284">
        <f>IF($D118 = 0,0,DATEDIF($D118,$D$7,"D"))</f>
        <v>1743</v>
      </c>
      <c r="F118" s="193">
        <f>((R118*$R$2)+(S118*$S$2)+(T118*$T$2)++(U118*$U$2)++(V118*$V$2)++(W118*$W$2)++(X118*$X$2)++(Y118*$Y$2)+(Z118*$Z$2)+(AA118*$AA$2)+(AB118*$AB$2)+(AC118*$AC$2)+(AD118*$AD$2)+(AE118*$AE$2)+(AF118*$AF$2)+(AG118*$AG$2)+(AH118*$AH$2)+(AI118*$AI$2)+(AJ118*$AJ$2)+(AK118*$AK$2)+(AL118*$AL$2)+(AM118*$AM$2)+(AN118*$AN$2)+(AO118*$AO$2)+(AP118*$AP$2)+(AQ118*$AQ$2)+(AR118*$AR$2)+(AS118*$AS$2)+(AT118*$AT$2)+(AU118*$AU$2)+(AV118*$AV$2)+(AW118*$AW$2))</f>
        <v>50</v>
      </c>
      <c r="G118" s="8" t="s">
        <v>6</v>
      </c>
      <c r="H118" s="9"/>
      <c r="I118" s="9"/>
      <c r="J118" s="9"/>
      <c r="K118" s="93">
        <f>+F118-I118+J118-H118</f>
        <v>50</v>
      </c>
      <c r="L118" s="64">
        <v>50</v>
      </c>
      <c r="M118" s="275">
        <f>+K118-L118</f>
        <v>0</v>
      </c>
      <c r="N118" s="275"/>
      <c r="O118" s="275"/>
      <c r="P118" s="253"/>
      <c r="Q118" s="293"/>
      <c r="R118" s="5">
        <v>1</v>
      </c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194">
        <f>IF($G118="Youth 0-3",1,0)</f>
        <v>0</v>
      </c>
      <c r="AY118" s="194">
        <f>IF($G118="Youth 4-11",1,0)</f>
        <v>0</v>
      </c>
      <c r="AZ118" s="194">
        <f>IF($G118="Youth 12-15",1,0)</f>
        <v>0</v>
      </c>
      <c r="BA118" s="194">
        <f>IF($G118="Addict",1,0)</f>
        <v>0</v>
      </c>
      <c r="BB118" s="194">
        <f>IF($G118="Non-Addict",1,0)</f>
        <v>0</v>
      </c>
      <c r="BC118" s="194">
        <f>IF($G118="Free Reg Certificate",1,0)</f>
        <v>0</v>
      </c>
      <c r="BD118" s="194">
        <f>IF($G118="Newcomer",1,0)</f>
        <v>0</v>
      </c>
      <c r="BE118" s="194">
        <f>IF($G118="Committee",1,0)</f>
        <v>1</v>
      </c>
      <c r="BF118" s="194">
        <f>IF($G118="Treatment",1,0)</f>
        <v>0</v>
      </c>
      <c r="BG118" s="194">
        <f>IF($G118="Meeting Sponsored",1,0)</f>
        <v>0</v>
      </c>
      <c r="BH118" s="194">
        <f>IF($G118="Programming",1,0)</f>
        <v>0</v>
      </c>
      <c r="BI118" s="194">
        <f>IF($G118="Hardship",1,0)</f>
        <v>0</v>
      </c>
      <c r="BJ118" s="194">
        <f>IF($G118="Refund",1,0)</f>
        <v>0</v>
      </c>
      <c r="BK118" s="194">
        <f>IF($G118="Vermilion Bucks",1,0)</f>
        <v>0</v>
      </c>
      <c r="BL118" s="194">
        <f>IF($G118="Other",1,0)</f>
        <v>0</v>
      </c>
      <c r="BM118" s="286"/>
      <c r="BN118" s="286"/>
      <c r="BO118" s="286">
        <f>SUM(AX118:BL118)</f>
        <v>1</v>
      </c>
      <c r="BP118" s="287">
        <f>SUM(R118:AW118)</f>
        <v>1</v>
      </c>
      <c r="BQ118" s="287">
        <f>+BO118+BP118</f>
        <v>2</v>
      </c>
    </row>
    <row r="119" spans="1:69" s="7" customFormat="1" ht="10.199999999999999" customHeight="1" x14ac:dyDescent="0.2">
      <c r="A119" s="294" t="s">
        <v>207</v>
      </c>
      <c r="B119" s="186" t="s">
        <v>208</v>
      </c>
      <c r="C119" s="5">
        <v>100</v>
      </c>
      <c r="D119" s="6">
        <v>41261</v>
      </c>
      <c r="E119" s="284">
        <f>IF($D119 = 0,0,DATEDIF($D119,$D$7,"D"))</f>
        <v>3189</v>
      </c>
      <c r="F119" s="193">
        <f>((R119*$R$2)+(S119*$S$2)+(T119*$T$2)++(U119*$U$2)++(V119*$V$2)++(W119*$W$2)++(X119*$X$2)++(Y119*$Y$2)+(Z119*$Z$2)+(AA119*$AA$2)+(AB119*$AB$2)+(AC119*$AC$2)+(AD119*$AD$2)+(AE119*$AE$2)+(AF119*$AF$2)+(AG119*$AG$2)+(AH119*$AH$2)+(AI119*$AI$2)+(AJ119*$AJ$2)+(AK119*$AK$2)+(AL119*$AL$2)+(AM119*$AM$2)+(AN119*$AN$2)+(AO119*$AO$2)+(AP119*$AP$2)+(AQ119*$AQ$2)+(AR119*$AR$2)+(AS119*$AS$2)+(AT119*$AT$2)+(AU119*$AU$2)+(AV119*$AV$2)+(AW119*$AW$2))</f>
        <v>160</v>
      </c>
      <c r="G119" s="8" t="s">
        <v>538</v>
      </c>
      <c r="H119" s="9">
        <v>125</v>
      </c>
      <c r="I119" s="9"/>
      <c r="J119" s="9"/>
      <c r="K119" s="93">
        <f>+F119-I119+J119-H119</f>
        <v>35</v>
      </c>
      <c r="L119" s="64">
        <v>35</v>
      </c>
      <c r="M119" s="275">
        <f>+K119-L119</f>
        <v>0</v>
      </c>
      <c r="N119" s="275"/>
      <c r="O119" s="275"/>
      <c r="P119" s="253"/>
      <c r="Q119" s="293"/>
      <c r="R119" s="5"/>
      <c r="S119" s="8"/>
      <c r="T119" s="8"/>
      <c r="U119" s="8"/>
      <c r="V119" s="8">
        <v>1</v>
      </c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194">
        <f>IF($G119="Youth 0-3",1,0)</f>
        <v>0</v>
      </c>
      <c r="AY119" s="194">
        <f>IF($G119="Youth 4-11",1,0)</f>
        <v>0</v>
      </c>
      <c r="AZ119" s="194">
        <f>IF($G119="Youth 12-15",1,0)</f>
        <v>0</v>
      </c>
      <c r="BA119" s="194">
        <f>IF($G119="Addict",1,0)</f>
        <v>0</v>
      </c>
      <c r="BB119" s="194">
        <f>IF($G119="Non-Addict",1,0)</f>
        <v>0</v>
      </c>
      <c r="BC119" s="194">
        <f>IF($G119="Free Reg Certificate",1,0)</f>
        <v>0</v>
      </c>
      <c r="BD119" s="194">
        <f>IF($G119="Newcomer",1,0)</f>
        <v>0</v>
      </c>
      <c r="BE119" s="194">
        <f>IF($G119="Committee",1,0)</f>
        <v>0</v>
      </c>
      <c r="BF119" s="194">
        <f>IF($G119="Treatment",1,0)</f>
        <v>0</v>
      </c>
      <c r="BG119" s="194">
        <f>IF($G119="Meeting Sponsored",1,0)</f>
        <v>0</v>
      </c>
      <c r="BH119" s="194">
        <f>IF($G119="Programming",1,0)</f>
        <v>0</v>
      </c>
      <c r="BI119" s="194">
        <f>IF($G119="Hardship",1,0)</f>
        <v>0</v>
      </c>
      <c r="BJ119" s="194">
        <f>IF($G119="Refund",1,0)</f>
        <v>0</v>
      </c>
      <c r="BK119" s="194">
        <f>IF($G119="Vermilion Bucks",1,0)</f>
        <v>1</v>
      </c>
      <c r="BL119" s="194">
        <f>IF($G119="Other",1,0)</f>
        <v>0</v>
      </c>
      <c r="BM119" s="286"/>
      <c r="BN119" s="286"/>
      <c r="BO119" s="286">
        <f>SUM(AX119:BL119)</f>
        <v>1</v>
      </c>
      <c r="BP119" s="287">
        <f>SUM(R119:AW119)</f>
        <v>1</v>
      </c>
      <c r="BQ119" s="287">
        <f>+BO119+BP119</f>
        <v>2</v>
      </c>
    </row>
    <row r="120" spans="1:69" s="7" customFormat="1" x14ac:dyDescent="0.2">
      <c r="A120" s="294" t="s">
        <v>444</v>
      </c>
      <c r="B120" s="177"/>
      <c r="C120" s="5"/>
      <c r="D120" s="6"/>
      <c r="E120" s="284">
        <f>IF($D120 = 0,0,DATEDIF($D120,$D$7,"D"))</f>
        <v>0</v>
      </c>
      <c r="F120" s="193">
        <f>((R120*$R$2)+(S120*$S$2)+(T120*$T$2)++(U120*$U$2)++(V120*$V$2)++(W120*$W$2)++(X120*$X$2)++(Y120*$Y$2)+(Z120*$Z$2)+(AA120*$AA$2)+(AB120*$AB$2)+(AC120*$AC$2)+(AD120*$AD$2)+(AE120*$AE$2)+(AF120*$AF$2)+(AG120*$AG$2)+(AH120*$AH$2)+(AI120*$AI$2)+(AJ120*$AJ$2)+(AK120*$AK$2)+(AL120*$AL$2)+(AM120*$AM$2)+(AN120*$AN$2)+(AO120*$AO$2)+(AP120*$AP$2)+(AQ120*$AQ$2)+(AR120*$AR$2)+(AS120*$AS$2)+(AT120*$AT$2)+(AU120*$AU$2)+(AV120*$AV$2)+(AW120*$AW$2))</f>
        <v>100</v>
      </c>
      <c r="G120" s="8" t="s">
        <v>95</v>
      </c>
      <c r="H120" s="9"/>
      <c r="I120" s="9">
        <v>50</v>
      </c>
      <c r="J120" s="9"/>
      <c r="K120" s="93">
        <f>+F120-I120+J120-H120</f>
        <v>50</v>
      </c>
      <c r="L120" s="64">
        <v>50</v>
      </c>
      <c r="M120" s="275">
        <f>+K120-L120</f>
        <v>0</v>
      </c>
      <c r="N120" s="275"/>
      <c r="O120" s="275"/>
      <c r="P120" s="253"/>
      <c r="Q120" s="293"/>
      <c r="R120" s="5"/>
      <c r="S120" s="8">
        <v>1</v>
      </c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194">
        <f>IF($G120="Youth 0-3",1,0)</f>
        <v>0</v>
      </c>
      <c r="AY120" s="194">
        <f>IF($G120="Youth 4-11",1,0)</f>
        <v>1</v>
      </c>
      <c r="AZ120" s="194">
        <f>IF($G120="Youth 12-15",1,0)</f>
        <v>0</v>
      </c>
      <c r="BA120" s="194">
        <f>IF($G120="Addict",1,0)</f>
        <v>0</v>
      </c>
      <c r="BB120" s="194">
        <f>IF($G120="Non-Addict",1,0)</f>
        <v>0</v>
      </c>
      <c r="BC120" s="194">
        <f>IF($G120="Free Reg Certificate",1,0)</f>
        <v>0</v>
      </c>
      <c r="BD120" s="194">
        <f>IF($G120="Newcomer",1,0)</f>
        <v>0</v>
      </c>
      <c r="BE120" s="194">
        <f>IF($G120="Committee",1,0)</f>
        <v>0</v>
      </c>
      <c r="BF120" s="194">
        <f>IF($G120="Treatment",1,0)</f>
        <v>0</v>
      </c>
      <c r="BG120" s="194">
        <f>IF($G120="Meeting Sponsored",1,0)</f>
        <v>0</v>
      </c>
      <c r="BH120" s="194">
        <f>IF($G120="Programming",1,0)</f>
        <v>0</v>
      </c>
      <c r="BI120" s="194">
        <f>IF($G120="Hardship",1,0)</f>
        <v>0</v>
      </c>
      <c r="BJ120" s="194">
        <f>IF($G120="Refund",1,0)</f>
        <v>0</v>
      </c>
      <c r="BK120" s="194">
        <f>IF($G120="Vermilion Bucks",1,0)</f>
        <v>0</v>
      </c>
      <c r="BL120" s="194">
        <f>IF($G120="Other",1,0)</f>
        <v>0</v>
      </c>
      <c r="BM120" s="286"/>
      <c r="BN120" s="286"/>
      <c r="BO120" s="286">
        <f>SUM(AX120:BL120)</f>
        <v>1</v>
      </c>
      <c r="BP120" s="287">
        <f>SUM(R120:AW120)</f>
        <v>1</v>
      </c>
      <c r="BQ120" s="287">
        <f>+BO120+BP120</f>
        <v>2</v>
      </c>
    </row>
    <row r="121" spans="1:69" s="7" customFormat="1" ht="10.199999999999999" customHeight="1" x14ac:dyDescent="0.2">
      <c r="A121" s="294" t="s">
        <v>395</v>
      </c>
      <c r="B121" s="283" t="s">
        <v>451</v>
      </c>
      <c r="C121" s="5">
        <v>224</v>
      </c>
      <c r="D121" s="6">
        <v>42879</v>
      </c>
      <c r="E121" s="284">
        <f>IF($D121 = 0,0,DATEDIF($D121,$D$7,"D"))</f>
        <v>1571</v>
      </c>
      <c r="F121" s="193">
        <f>((R121*$R$2)+(S121*$S$2)+(T121*$T$2)++(U121*$U$2)++(V121*$V$2)++(W121*$W$2)++(X121*$X$2)++(Y121*$Y$2)+(Z121*$Z$2)+(AA121*$AA$2)+(AB121*$AB$2)+(AC121*$AC$2)+(AD121*$AD$2)+(AE121*$AE$2)+(AF121*$AF$2)+(AG121*$AG$2)+(AH121*$AH$2)+(AI121*$AI$2)+(AJ121*$AJ$2)+(AK121*$AK$2)+(AL121*$AL$2)+(AM121*$AM$2)+(AN121*$AN$2)+(AO121*$AO$2)+(AP121*$AP$2)+(AQ121*$AQ$2)+(AR121*$AR$2)+(AS121*$AS$2)+(AT121*$AT$2)+(AU121*$AU$2)+(AV121*$AV$2)+(AW121*$AW$2))</f>
        <v>100</v>
      </c>
      <c r="G121" s="8" t="s">
        <v>38</v>
      </c>
      <c r="H121" s="9"/>
      <c r="I121" s="9"/>
      <c r="J121" s="9">
        <v>5</v>
      </c>
      <c r="K121" s="93">
        <f>+F121-I121+J121-H121</f>
        <v>105</v>
      </c>
      <c r="L121" s="64">
        <v>105</v>
      </c>
      <c r="M121" s="275">
        <f>+K121-L121</f>
        <v>0</v>
      </c>
      <c r="N121" s="275"/>
      <c r="O121" s="275"/>
      <c r="P121" s="253"/>
      <c r="Q121" s="293"/>
      <c r="R121" s="5"/>
      <c r="S121" s="8">
        <v>1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194">
        <f>IF($G121="Youth 0-3",1,0)</f>
        <v>0</v>
      </c>
      <c r="AY121" s="194">
        <f>IF($G121="Youth 4-11",1,0)</f>
        <v>0</v>
      </c>
      <c r="AZ121" s="194">
        <f>IF($G121="Youth 12-15",1,0)</f>
        <v>0</v>
      </c>
      <c r="BA121" s="194">
        <f>IF($G121="Addict",1,0)</f>
        <v>1</v>
      </c>
      <c r="BB121" s="194">
        <f>IF($G121="Non-Addict",1,0)</f>
        <v>0</v>
      </c>
      <c r="BC121" s="194">
        <f>IF($G121="Free Reg Certificate",1,0)</f>
        <v>0</v>
      </c>
      <c r="BD121" s="194">
        <f>IF($G121="Newcomer",1,0)</f>
        <v>0</v>
      </c>
      <c r="BE121" s="194">
        <f>IF($G121="Committee",1,0)</f>
        <v>0</v>
      </c>
      <c r="BF121" s="194">
        <f>IF($G121="Treatment",1,0)</f>
        <v>0</v>
      </c>
      <c r="BG121" s="194">
        <f>IF($G121="Meeting Sponsored",1,0)</f>
        <v>0</v>
      </c>
      <c r="BH121" s="194">
        <f>IF($G121="Programming",1,0)</f>
        <v>0</v>
      </c>
      <c r="BI121" s="194">
        <f>IF($G121="Hardship",1,0)</f>
        <v>0</v>
      </c>
      <c r="BJ121" s="194">
        <f>IF($G121="Refund",1,0)</f>
        <v>0</v>
      </c>
      <c r="BK121" s="194">
        <f>IF($G121="Vermilion Bucks",1,0)</f>
        <v>0</v>
      </c>
      <c r="BL121" s="194">
        <f>IF($G121="Other",1,0)</f>
        <v>0</v>
      </c>
      <c r="BM121" s="286"/>
      <c r="BN121" s="286"/>
      <c r="BO121" s="286">
        <f>SUM(AX121:BL121)</f>
        <v>1</v>
      </c>
      <c r="BP121" s="287">
        <f>SUM(R121:AW121)</f>
        <v>1</v>
      </c>
      <c r="BQ121" s="287">
        <f>+BO121+BP121</f>
        <v>2</v>
      </c>
    </row>
    <row r="122" spans="1:69" s="7" customFormat="1" ht="10.199999999999999" customHeight="1" x14ac:dyDescent="0.2">
      <c r="A122" s="294" t="s">
        <v>476</v>
      </c>
      <c r="B122" s="177"/>
      <c r="C122" s="5"/>
      <c r="D122" s="6"/>
      <c r="E122" s="284">
        <f>IF($D122 = 0,0,DATEDIF($D122,$D$7,"D"))</f>
        <v>0</v>
      </c>
      <c r="F122" s="193">
        <f>((R122*$R$2)+(S122*$S$2)+(T122*$T$2)++(U122*$U$2)++(V122*$V$2)++(W122*$W$2)++(X122*$X$2)++(Y122*$Y$2)+(Z122*$Z$2)+(AA122*$AA$2)+(AB122*$AB$2)+(AC122*$AC$2)+(AD122*$AD$2)+(AE122*$AE$2)+(AF122*$AF$2)+(AG122*$AG$2)+(AH122*$AH$2)+(AI122*$AI$2)+(AJ122*$AJ$2)+(AK122*$AK$2)+(AL122*$AL$2)+(AM122*$AM$2)+(AN122*$AN$2)+(AO122*$AO$2)+(AP122*$AP$2)+(AQ122*$AQ$2)+(AR122*$AR$2)+(AS122*$AS$2)+(AT122*$AT$2)+(AU122*$AU$2)+(AV122*$AV$2)+(AW122*$AW$2))</f>
        <v>125</v>
      </c>
      <c r="G122" s="8" t="s">
        <v>27</v>
      </c>
      <c r="H122" s="9">
        <v>62.5</v>
      </c>
      <c r="I122" s="9"/>
      <c r="J122" s="9"/>
      <c r="K122" s="93">
        <f>+F122-I122+J122-H122</f>
        <v>62.5</v>
      </c>
      <c r="L122" s="64">
        <v>62.5</v>
      </c>
      <c r="M122" s="275">
        <f>+K122-L122</f>
        <v>0</v>
      </c>
      <c r="N122" s="275"/>
      <c r="O122" s="275"/>
      <c r="P122" s="253"/>
      <c r="Q122" s="293"/>
      <c r="R122" s="5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>
        <v>1</v>
      </c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194">
        <f>IF($G122="Youth 0-3",1,0)</f>
        <v>0</v>
      </c>
      <c r="AY122" s="194">
        <f>IF($G122="Youth 4-11",1,0)</f>
        <v>0</v>
      </c>
      <c r="AZ122" s="194">
        <f>IF($G122="Youth 12-15",1,0)</f>
        <v>0</v>
      </c>
      <c r="BA122" s="194">
        <f>IF($G122="Addict",1,0)</f>
        <v>0</v>
      </c>
      <c r="BB122" s="194">
        <f>IF($G122="Non-Addict",1,0)</f>
        <v>0</v>
      </c>
      <c r="BC122" s="194">
        <f>IF($G122="Free Reg Certificate",1,0)</f>
        <v>0</v>
      </c>
      <c r="BD122" s="194">
        <f>IF($G122="Newcomer",1,0)</f>
        <v>1</v>
      </c>
      <c r="BE122" s="194">
        <f>IF($G122="Committee",1,0)</f>
        <v>0</v>
      </c>
      <c r="BF122" s="194">
        <f>IF($G122="Treatment",1,0)</f>
        <v>0</v>
      </c>
      <c r="BG122" s="194">
        <f>IF($G122="Meeting Sponsored",1,0)</f>
        <v>0</v>
      </c>
      <c r="BH122" s="194">
        <f>IF($G122="Programming",1,0)</f>
        <v>0</v>
      </c>
      <c r="BI122" s="194">
        <f>IF($G122="Hardship",1,0)</f>
        <v>0</v>
      </c>
      <c r="BJ122" s="194">
        <f>IF($G122="Refund",1,0)</f>
        <v>0</v>
      </c>
      <c r="BK122" s="194">
        <f>IF($G122="Vermilion Bucks",1,0)</f>
        <v>0</v>
      </c>
      <c r="BL122" s="194">
        <f>IF($G122="Other",1,0)</f>
        <v>0</v>
      </c>
      <c r="BM122" s="286"/>
      <c r="BN122" s="286"/>
      <c r="BO122" s="286">
        <f>SUM(AX122:BL122)</f>
        <v>1</v>
      </c>
      <c r="BP122" s="287">
        <f>SUM(R122:AW122)</f>
        <v>1</v>
      </c>
      <c r="BQ122" s="287">
        <f>+BO122+BP122</f>
        <v>2</v>
      </c>
    </row>
    <row r="123" spans="1:69" s="7" customFormat="1" ht="10.199999999999999" customHeight="1" x14ac:dyDescent="0.2">
      <c r="A123" s="294" t="s">
        <v>358</v>
      </c>
      <c r="B123" s="283" t="s">
        <v>380</v>
      </c>
      <c r="C123" s="5">
        <v>265</v>
      </c>
      <c r="D123" s="6">
        <v>36421</v>
      </c>
      <c r="E123" s="284">
        <f>IF($D123 = 0,0,DATEDIF($D123,$D$7,"D"))</f>
        <v>8029</v>
      </c>
      <c r="F123" s="193">
        <f>((R123*$R$2)+(S123*$S$2)+(T123*$T$2)++(U123*$U$2)++(V123*$V$2)++(W123*$W$2)++(X123*$X$2)++(Y123*$Y$2)+(Z123*$Z$2)+(AA123*$AA$2)+(AB123*$AB$2)+(AC123*$AC$2)+(AD123*$AD$2)+(AE123*$AE$2)+(AF123*$AF$2)+(AG123*$AG$2)+(AH123*$AH$2)+(AI123*$AI$2)+(AJ123*$AJ$2)+(AK123*$AK$2)+(AL123*$AL$2)+(AM123*$AM$2)+(AN123*$AN$2)+(AO123*$AO$2)+(AP123*$AP$2)+(AQ123*$AQ$2)+(AR123*$AR$2)+(AS123*$AS$2)+(AT123*$AT$2)+(AU123*$AU$2)+(AV123*$AV$2)+(AW123*$AW$2))</f>
        <v>125</v>
      </c>
      <c r="G123" s="8" t="s">
        <v>38</v>
      </c>
      <c r="H123" s="9"/>
      <c r="I123" s="9"/>
      <c r="J123" s="9"/>
      <c r="K123" s="93">
        <f>+F123-I123+J123-H123</f>
        <v>125</v>
      </c>
      <c r="L123" s="64">
        <v>125</v>
      </c>
      <c r="M123" s="275">
        <f>+K123-L123</f>
        <v>0</v>
      </c>
      <c r="N123" s="275"/>
      <c r="O123" s="275"/>
      <c r="P123" s="253"/>
      <c r="Q123" s="293"/>
      <c r="R123" s="5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>
        <v>1</v>
      </c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194">
        <f>IF($G123="Youth 0-3",1,0)</f>
        <v>0</v>
      </c>
      <c r="AY123" s="194">
        <f>IF($G123="Youth 4-11",1,0)</f>
        <v>0</v>
      </c>
      <c r="AZ123" s="194">
        <f>IF($G123="Youth 12-15",1,0)</f>
        <v>0</v>
      </c>
      <c r="BA123" s="194">
        <f>IF($G123="Addict",1,0)</f>
        <v>1</v>
      </c>
      <c r="BB123" s="194">
        <f>IF($G123="Non-Addict",1,0)</f>
        <v>0</v>
      </c>
      <c r="BC123" s="194">
        <f>IF($G123="Free Reg Certificate",1,0)</f>
        <v>0</v>
      </c>
      <c r="BD123" s="194">
        <f>IF($G123="Newcomer",1,0)</f>
        <v>0</v>
      </c>
      <c r="BE123" s="194">
        <f>IF($G123="Committee",1,0)</f>
        <v>0</v>
      </c>
      <c r="BF123" s="194">
        <f>IF($G123="Treatment",1,0)</f>
        <v>0</v>
      </c>
      <c r="BG123" s="194">
        <f>IF($G123="Meeting Sponsored",1,0)</f>
        <v>0</v>
      </c>
      <c r="BH123" s="194">
        <f>IF($G123="Programming",1,0)</f>
        <v>0</v>
      </c>
      <c r="BI123" s="194">
        <f>IF($G123="Hardship",1,0)</f>
        <v>0</v>
      </c>
      <c r="BJ123" s="194">
        <f>IF($G123="Refund",1,0)</f>
        <v>0</v>
      </c>
      <c r="BK123" s="194">
        <f>IF($G123="Vermilion Bucks",1,0)</f>
        <v>0</v>
      </c>
      <c r="BL123" s="194">
        <f>IF($G123="Other",1,0)</f>
        <v>0</v>
      </c>
      <c r="BM123" s="286"/>
      <c r="BN123" s="286"/>
      <c r="BO123" s="286">
        <f>SUM(AX123:BL123)</f>
        <v>1</v>
      </c>
      <c r="BP123" s="287">
        <f>SUM(R123:AW123)</f>
        <v>1</v>
      </c>
      <c r="BQ123" s="287">
        <f>+BO123+BP123</f>
        <v>2</v>
      </c>
    </row>
    <row r="124" spans="1:69" s="7" customFormat="1" x14ac:dyDescent="0.2">
      <c r="A124" s="294" t="s">
        <v>450</v>
      </c>
      <c r="B124" s="177"/>
      <c r="C124" s="5">
        <v>87</v>
      </c>
      <c r="D124" s="6">
        <v>44195</v>
      </c>
      <c r="E124" s="284">
        <f>IF($D124 = 0,0,DATEDIF($D124,$D$7,"D"))</f>
        <v>255</v>
      </c>
      <c r="F124" s="193">
        <f>((R124*$R$2)+(S124*$S$2)+(T124*$T$2)++(U124*$U$2)++(V124*$V$2)++(W124*$W$2)++(X124*$X$2)++(Y124*$Y$2)+(Z124*$Z$2)+(AA124*$AA$2)+(AB124*$AB$2)+(AC124*$AC$2)+(AD124*$AD$2)+(AE124*$AE$2)+(AF124*$AF$2)+(AG124*$AG$2)+(AH124*$AH$2)+(AI124*$AI$2)+(AJ124*$AJ$2)+(AK124*$AK$2)+(AL124*$AL$2)+(AM124*$AM$2)+(AN124*$AN$2)+(AO124*$AO$2)+(AP124*$AP$2)+(AQ124*$AQ$2)+(AR124*$AR$2)+(AS124*$AS$2)+(AT124*$AT$2)+(AU124*$AU$2)+(AV124*$AV$2)+(AW124*$AW$2))</f>
        <v>125</v>
      </c>
      <c r="G124" s="8" t="s">
        <v>38</v>
      </c>
      <c r="H124" s="9"/>
      <c r="I124" s="9"/>
      <c r="J124" s="9"/>
      <c r="K124" s="93">
        <f>+F124-I124+J124-H124</f>
        <v>125</v>
      </c>
      <c r="L124" s="64">
        <v>125</v>
      </c>
      <c r="M124" s="275">
        <f>+K124-L124</f>
        <v>0</v>
      </c>
      <c r="N124" s="275"/>
      <c r="O124" s="275"/>
      <c r="P124" s="253"/>
      <c r="Q124" s="293"/>
      <c r="R124" s="5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>
        <v>1</v>
      </c>
      <c r="AO124" s="8"/>
      <c r="AP124" s="8"/>
      <c r="AQ124" s="8"/>
      <c r="AR124" s="8"/>
      <c r="AS124" s="8"/>
      <c r="AT124" s="8"/>
      <c r="AU124" s="8"/>
      <c r="AV124" s="8"/>
      <c r="AW124" s="8"/>
      <c r="AX124" s="194">
        <f>IF($G124="Youth 0-3",1,0)</f>
        <v>0</v>
      </c>
      <c r="AY124" s="194">
        <f>IF($G124="Youth 4-11",1,0)</f>
        <v>0</v>
      </c>
      <c r="AZ124" s="194">
        <f>IF($G124="Youth 12-15",1,0)</f>
        <v>0</v>
      </c>
      <c r="BA124" s="194">
        <f>IF($G124="Addict",1,0)</f>
        <v>1</v>
      </c>
      <c r="BB124" s="194">
        <f>IF($G124="Non-Addict",1,0)</f>
        <v>0</v>
      </c>
      <c r="BC124" s="194">
        <f>IF($G124="Free Reg Certificate",1,0)</f>
        <v>0</v>
      </c>
      <c r="BD124" s="194">
        <f>IF($G124="Newcomer",1,0)</f>
        <v>0</v>
      </c>
      <c r="BE124" s="194">
        <f>IF($G124="Committee",1,0)</f>
        <v>0</v>
      </c>
      <c r="BF124" s="194">
        <f>IF($G124="Treatment",1,0)</f>
        <v>0</v>
      </c>
      <c r="BG124" s="194">
        <f>IF($G124="Meeting Sponsored",1,0)</f>
        <v>0</v>
      </c>
      <c r="BH124" s="194">
        <f>IF($G124="Programming",1,0)</f>
        <v>0</v>
      </c>
      <c r="BI124" s="194">
        <f>IF($G124="Hardship",1,0)</f>
        <v>0</v>
      </c>
      <c r="BJ124" s="194">
        <f>IF($G124="Refund",1,0)</f>
        <v>0</v>
      </c>
      <c r="BK124" s="194">
        <f>IF($G124="Vermilion Bucks",1,0)</f>
        <v>0</v>
      </c>
      <c r="BL124" s="194">
        <f>IF($G124="Other",1,0)</f>
        <v>0</v>
      </c>
      <c r="BM124" s="286"/>
      <c r="BN124" s="286"/>
      <c r="BO124" s="286">
        <f>SUM(AX124:BL124)</f>
        <v>1</v>
      </c>
      <c r="BP124" s="287">
        <f>SUM(R124:AW124)</f>
        <v>1</v>
      </c>
      <c r="BQ124" s="287">
        <f>+BO124+BP124</f>
        <v>2</v>
      </c>
    </row>
    <row r="125" spans="1:69" s="7" customFormat="1" ht="10.199999999999999" customHeight="1" x14ac:dyDescent="0.2">
      <c r="A125" s="294" t="s">
        <v>501</v>
      </c>
      <c r="B125" s="283" t="s">
        <v>502</v>
      </c>
      <c r="C125" s="5">
        <v>30</v>
      </c>
      <c r="D125" s="6">
        <v>42125</v>
      </c>
      <c r="E125" s="284">
        <f>IF($D125 = 0,0,DATEDIF($D125,$D$7,"D"))</f>
        <v>2325</v>
      </c>
      <c r="F125" s="193">
        <f>((R125*$R$2)+(S125*$S$2)+(T125*$T$2)++(U125*$U$2)++(V125*$V$2)++(W125*$W$2)++(X125*$X$2)++(Y125*$Y$2)+(Z125*$Z$2)+(AA125*$AA$2)+(AB125*$AB$2)+(AC125*$AC$2)+(AD125*$AD$2)+(AE125*$AE$2)+(AF125*$AF$2)+(AG125*$AG$2)+(AH125*$AH$2)+(AI125*$AI$2)+(AJ125*$AJ$2)+(AK125*$AK$2)+(AL125*$AL$2)+(AM125*$AM$2)+(AN125*$AN$2)+(AO125*$AO$2)+(AP125*$AP$2)+(AQ125*$AQ$2)+(AR125*$AR$2)+(AS125*$AS$2)+(AT125*$AT$2)+(AU125*$AU$2)+(AV125*$AV$2)+(AW125*$AW$2))</f>
        <v>50</v>
      </c>
      <c r="G125" s="8" t="s">
        <v>94</v>
      </c>
      <c r="H125" s="9">
        <v>10</v>
      </c>
      <c r="I125" s="9"/>
      <c r="J125" s="9"/>
      <c r="K125" s="93">
        <f>+F125-I125+J125-H125</f>
        <v>40</v>
      </c>
      <c r="L125" s="64">
        <v>40</v>
      </c>
      <c r="M125" s="275">
        <f>+K125-L125</f>
        <v>0</v>
      </c>
      <c r="N125" s="275"/>
      <c r="O125" s="275"/>
      <c r="P125" s="253"/>
      <c r="Q125" s="293"/>
      <c r="R125" s="5">
        <v>1</v>
      </c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194">
        <f>IF($G125="Youth 0-3",1,0)</f>
        <v>0</v>
      </c>
      <c r="AY125" s="194">
        <f>IF($G125="Youth 4-11",1,0)</f>
        <v>0</v>
      </c>
      <c r="AZ125" s="194">
        <f>IF($G125="Youth 12-15",1,0)</f>
        <v>0</v>
      </c>
      <c r="BA125" s="194">
        <f>IF($G125="Addict",1,0)</f>
        <v>0</v>
      </c>
      <c r="BB125" s="194">
        <f>IF($G125="Non-Addict",1,0)</f>
        <v>0</v>
      </c>
      <c r="BC125" s="194">
        <f>IF($G125="Free Reg Certificate",1,0)</f>
        <v>0</v>
      </c>
      <c r="BD125" s="194">
        <f>IF($G125="Newcomer",1,0)</f>
        <v>0</v>
      </c>
      <c r="BE125" s="194">
        <f>IF($G125="Committee",1,0)</f>
        <v>0</v>
      </c>
      <c r="BF125" s="194">
        <f>IF($G125="Treatment",1,0)</f>
        <v>0</v>
      </c>
      <c r="BG125" s="194">
        <f>IF($G125="Meeting Sponsored",1,0)</f>
        <v>0</v>
      </c>
      <c r="BH125" s="194">
        <f>IF($G125="Programming",1,0)</f>
        <v>0</v>
      </c>
      <c r="BI125" s="194">
        <f>IF($G125="Hardship",1,0)</f>
        <v>1</v>
      </c>
      <c r="BJ125" s="194">
        <f>IF($G125="Refund",1,0)</f>
        <v>0</v>
      </c>
      <c r="BK125" s="194">
        <f>IF($G125="Vermilion Bucks",1,0)</f>
        <v>0</v>
      </c>
      <c r="BL125" s="194">
        <f>IF($G125="Other",1,0)</f>
        <v>0</v>
      </c>
      <c r="BM125" s="286"/>
      <c r="BN125" s="286"/>
      <c r="BO125" s="286">
        <f>SUM(AX125:BL125)</f>
        <v>1</v>
      </c>
      <c r="BP125" s="287">
        <f>SUM(R125:AW125)</f>
        <v>1</v>
      </c>
      <c r="BQ125" s="287">
        <f>+BO125+BP125</f>
        <v>2</v>
      </c>
    </row>
    <row r="126" spans="1:69" s="7" customFormat="1" ht="10.199999999999999" customHeight="1" x14ac:dyDescent="0.2">
      <c r="A126" s="294" t="s">
        <v>501</v>
      </c>
      <c r="B126" s="177"/>
      <c r="C126" s="5">
        <v>30</v>
      </c>
      <c r="D126" s="6"/>
      <c r="E126" s="284">
        <f>IF($D126 = 0,0,DATEDIF($D126,$D$7,"D"))</f>
        <v>0</v>
      </c>
      <c r="F126" s="193">
        <f>((R126*$R$2)+(S126*$S$2)+(T126*$T$2)++(U126*$U$2)++(V126*$V$2)++(W126*$W$2)++(X126*$X$2)++(Y126*$Y$2)+(Z126*$Z$2)+(AA126*$AA$2)+(AB126*$AB$2)+(AC126*$AC$2)+(AD126*$AD$2)+(AE126*$AE$2)+(AF126*$AF$2)+(AG126*$AG$2)+(AH126*$AH$2)+(AI126*$AI$2)+(AJ126*$AJ$2)+(AK126*$AK$2)+(AL126*$AL$2)+(AM126*$AM$2)+(AN126*$AN$2)+(AO126*$AO$2)+(AP126*$AP$2)+(AQ126*$AQ$2)+(AR126*$AR$2)+(AS126*$AS$2)+(AT126*$AT$2)+(AU126*$AU$2)+(AV126*$AV$2)+(AW126*$AW$2))</f>
        <v>50</v>
      </c>
      <c r="G126" s="8" t="s">
        <v>96</v>
      </c>
      <c r="H126" s="9"/>
      <c r="I126" s="9">
        <v>50</v>
      </c>
      <c r="J126" s="9"/>
      <c r="K126" s="93">
        <f>+F126-I126+J126-H126</f>
        <v>0</v>
      </c>
      <c r="L126" s="64">
        <v>0</v>
      </c>
      <c r="M126" s="275">
        <f>+K126-L126</f>
        <v>0</v>
      </c>
      <c r="N126" s="275"/>
      <c r="O126" s="275"/>
      <c r="P126" s="253"/>
      <c r="Q126" s="293"/>
      <c r="R126" s="5">
        <v>1</v>
      </c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194">
        <f>IF($G126="Youth 0-3",1,0)</f>
        <v>1</v>
      </c>
      <c r="AY126" s="194">
        <f>IF($G126="Youth 4-11",1,0)</f>
        <v>0</v>
      </c>
      <c r="AZ126" s="194">
        <f>IF($G126="Youth 12-15",1,0)</f>
        <v>0</v>
      </c>
      <c r="BA126" s="194">
        <f>IF($G126="Addict",1,0)</f>
        <v>0</v>
      </c>
      <c r="BB126" s="194">
        <f>IF($G126="Non-Addict",1,0)</f>
        <v>0</v>
      </c>
      <c r="BC126" s="194">
        <f>IF($G126="Free Reg Certificate",1,0)</f>
        <v>0</v>
      </c>
      <c r="BD126" s="194">
        <f>IF($G126="Newcomer",1,0)</f>
        <v>0</v>
      </c>
      <c r="BE126" s="194">
        <f>IF($G126="Committee",1,0)</f>
        <v>0</v>
      </c>
      <c r="BF126" s="194">
        <f>IF($G126="Treatment",1,0)</f>
        <v>0</v>
      </c>
      <c r="BG126" s="194">
        <f>IF($G126="Meeting Sponsored",1,0)</f>
        <v>0</v>
      </c>
      <c r="BH126" s="194">
        <f>IF($G126="Programming",1,0)</f>
        <v>0</v>
      </c>
      <c r="BI126" s="194">
        <f>IF($G126="Hardship",1,0)</f>
        <v>0</v>
      </c>
      <c r="BJ126" s="194">
        <f>IF($G126="Refund",1,0)</f>
        <v>0</v>
      </c>
      <c r="BK126" s="194">
        <f>IF($G126="Vermilion Bucks",1,0)</f>
        <v>0</v>
      </c>
      <c r="BL126" s="194">
        <f>IF($G126="Other",1,0)</f>
        <v>0</v>
      </c>
      <c r="BM126" s="286"/>
      <c r="BN126" s="286"/>
      <c r="BO126" s="286">
        <f>SUM(AX126:BL126)</f>
        <v>1</v>
      </c>
      <c r="BP126" s="287">
        <f>SUM(R126:AW126)</f>
        <v>1</v>
      </c>
      <c r="BQ126" s="287">
        <f>+BO126+BP126</f>
        <v>2</v>
      </c>
    </row>
    <row r="127" spans="1:69" s="7" customFormat="1" x14ac:dyDescent="0.2">
      <c r="A127" s="294" t="s">
        <v>365</v>
      </c>
      <c r="B127" s="283" t="s">
        <v>384</v>
      </c>
      <c r="C127" s="5">
        <v>265</v>
      </c>
      <c r="D127" s="6">
        <v>30986</v>
      </c>
      <c r="E127" s="284">
        <f>IF($D127 = 0,0,DATEDIF($D127,$D$7,"D"))</f>
        <v>13464</v>
      </c>
      <c r="F127" s="193">
        <f>((R127*$R$2)+(S127*$S$2)+(T127*$T$2)++(U127*$U$2)++(V127*$V$2)++(W127*$W$2)++(X127*$X$2)++(Y127*$Y$2)+(Z127*$Z$2)+(AA127*$AA$2)+(AB127*$AB$2)+(AC127*$AC$2)+(AD127*$AD$2)+(AE127*$AE$2)+(AF127*$AF$2)+(AG127*$AG$2)+(AH127*$AH$2)+(AI127*$AI$2)+(AJ127*$AJ$2)+(AK127*$AK$2)+(AL127*$AL$2)+(AM127*$AM$2)+(AN127*$AN$2)+(AO127*$AO$2)+(AP127*$AP$2)+(AQ127*$AQ$2)+(AR127*$AR$2)+(AS127*$AS$2)+(AT127*$AT$2)+(AU127*$AU$2)+(AV127*$AV$2)+(AW127*$AW$2))</f>
        <v>125</v>
      </c>
      <c r="G127" s="8" t="s">
        <v>539</v>
      </c>
      <c r="H127" s="9">
        <v>140</v>
      </c>
      <c r="I127" s="9"/>
      <c r="J127" s="9">
        <v>15</v>
      </c>
      <c r="K127" s="93">
        <f>+F127-I127+J127-H127</f>
        <v>0</v>
      </c>
      <c r="L127" s="64">
        <v>0</v>
      </c>
      <c r="M127" s="275">
        <f>+K127-L127</f>
        <v>0</v>
      </c>
      <c r="N127" s="275"/>
      <c r="O127" s="275"/>
      <c r="P127" s="253"/>
      <c r="Q127" s="293"/>
      <c r="R127" s="5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>
        <v>1</v>
      </c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194">
        <f>IF($G127="Youth 0-3",1,0)</f>
        <v>0</v>
      </c>
      <c r="AY127" s="194">
        <f>IF($G127="Youth 4-11",1,0)</f>
        <v>0</v>
      </c>
      <c r="AZ127" s="194">
        <f>IF($G127="Youth 12-15",1,0)</f>
        <v>0</v>
      </c>
      <c r="BA127" s="194">
        <f>IF($G127="Addict",1,0)</f>
        <v>0</v>
      </c>
      <c r="BB127" s="194">
        <f>IF($G127="Non-Addict",1,0)</f>
        <v>0</v>
      </c>
      <c r="BC127" s="194">
        <f>IF($G127="Free Reg Certificate",1,0)</f>
        <v>0</v>
      </c>
      <c r="BD127" s="194">
        <f>IF($G127="Newcomer",1,0)</f>
        <v>0</v>
      </c>
      <c r="BE127" s="194">
        <f>IF($G127="Committee",1,0)</f>
        <v>0</v>
      </c>
      <c r="BF127" s="194">
        <f>IF($G127="Treatment",1,0)</f>
        <v>0</v>
      </c>
      <c r="BG127" s="194">
        <f>IF($G127="Meeting Sponsored",1,0)</f>
        <v>0</v>
      </c>
      <c r="BH127" s="194">
        <f>IF($G127="Programming",1,0)</f>
        <v>1</v>
      </c>
      <c r="BI127" s="194">
        <f>IF($G127="Hardship",1,0)</f>
        <v>0</v>
      </c>
      <c r="BJ127" s="194">
        <f>IF($G127="Refund",1,0)</f>
        <v>0</v>
      </c>
      <c r="BK127" s="194">
        <f>IF($G127="Vermilion Bucks",1,0)</f>
        <v>0</v>
      </c>
      <c r="BL127" s="194">
        <f>IF($G127="Other",1,0)</f>
        <v>0</v>
      </c>
      <c r="BM127" s="286"/>
      <c r="BN127" s="286"/>
      <c r="BO127" s="286">
        <f>SUM(AX127:BL127)</f>
        <v>1</v>
      </c>
      <c r="BP127" s="287">
        <f>SUM(R127:AW127)</f>
        <v>1</v>
      </c>
      <c r="BQ127" s="287">
        <f>+BO127+BP127</f>
        <v>2</v>
      </c>
    </row>
    <row r="128" spans="1:69" s="7" customFormat="1" ht="10.199999999999999" customHeight="1" x14ac:dyDescent="0.2">
      <c r="A128" s="294" t="s">
        <v>357</v>
      </c>
      <c r="B128" s="177"/>
      <c r="C128" s="5">
        <v>197</v>
      </c>
      <c r="D128" s="6">
        <v>44279</v>
      </c>
      <c r="E128" s="284">
        <f>IF($D128 = 0,0,DATEDIF($D128,$D$7,"D"))</f>
        <v>171</v>
      </c>
      <c r="F128" s="193">
        <f>((R128*$R$2)+(S128*$S$2)+(T128*$T$2)++(U128*$U$2)++(V128*$V$2)++(W128*$W$2)++(X128*$X$2)++(Y128*$Y$2)+(Z128*$Z$2)+(AA128*$AA$2)+(AB128*$AB$2)+(AC128*$AC$2)+(AD128*$AD$2)+(AE128*$AE$2)+(AF128*$AF$2)+(AG128*$AG$2)+(AH128*$AH$2)+(AI128*$AI$2)+(AJ128*$AJ$2)+(AK128*$AK$2)+(AL128*$AL$2)+(AM128*$AM$2)+(AN128*$AN$2)+(AO128*$AO$2)+(AP128*$AP$2)+(AQ128*$AQ$2)+(AR128*$AR$2)+(AS128*$AS$2)+(AT128*$AT$2)+(AU128*$AU$2)+(AV128*$AV$2)+(AW128*$AW$2))</f>
        <v>125</v>
      </c>
      <c r="G128" s="8" t="s">
        <v>38</v>
      </c>
      <c r="H128" s="9"/>
      <c r="I128" s="9"/>
      <c r="J128" s="9"/>
      <c r="K128" s="93">
        <f>+F128-I128+J128-H128</f>
        <v>125</v>
      </c>
      <c r="L128" s="64">
        <v>125</v>
      </c>
      <c r="M128" s="275">
        <f>+K128-L128</f>
        <v>0</v>
      </c>
      <c r="N128" s="275"/>
      <c r="O128" s="275"/>
      <c r="P128" s="253"/>
      <c r="Q128" s="293"/>
      <c r="R128" s="5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>
        <v>1</v>
      </c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194">
        <f>IF($G128="Youth 0-3",1,0)</f>
        <v>0</v>
      </c>
      <c r="AY128" s="194">
        <f>IF($G128="Youth 4-11",1,0)</f>
        <v>0</v>
      </c>
      <c r="AZ128" s="194">
        <f>IF($G128="Youth 12-15",1,0)</f>
        <v>0</v>
      </c>
      <c r="BA128" s="194">
        <f>IF($G128="Addict",1,0)</f>
        <v>1</v>
      </c>
      <c r="BB128" s="194">
        <f>IF($G128="Non-Addict",1,0)</f>
        <v>0</v>
      </c>
      <c r="BC128" s="194">
        <f>IF($G128="Free Reg Certificate",1,0)</f>
        <v>0</v>
      </c>
      <c r="BD128" s="194">
        <f>IF($G128="Newcomer",1,0)</f>
        <v>0</v>
      </c>
      <c r="BE128" s="194">
        <f>IF($G128="Committee",1,0)</f>
        <v>0</v>
      </c>
      <c r="BF128" s="194">
        <f>IF($G128="Treatment",1,0)</f>
        <v>0</v>
      </c>
      <c r="BG128" s="194">
        <f>IF($G128="Meeting Sponsored",1,0)</f>
        <v>0</v>
      </c>
      <c r="BH128" s="194">
        <f>IF($G128="Programming",1,0)</f>
        <v>0</v>
      </c>
      <c r="BI128" s="194">
        <f>IF($G128="Hardship",1,0)</f>
        <v>0</v>
      </c>
      <c r="BJ128" s="194">
        <f>IF($G128="Refund",1,0)</f>
        <v>0</v>
      </c>
      <c r="BK128" s="194">
        <f>IF($G128="Vermilion Bucks",1,0)</f>
        <v>0</v>
      </c>
      <c r="BL128" s="194">
        <f>IF($G128="Other",1,0)</f>
        <v>0</v>
      </c>
      <c r="BM128" s="286"/>
      <c r="BN128" s="286"/>
      <c r="BO128" s="286">
        <f>SUM(AX128:BL128)</f>
        <v>1</v>
      </c>
      <c r="BP128" s="287">
        <f>SUM(R128:AW128)</f>
        <v>1</v>
      </c>
      <c r="BQ128" s="287">
        <f>+BO128+BP128</f>
        <v>2</v>
      </c>
    </row>
    <row r="129" spans="1:85" s="7" customFormat="1" x14ac:dyDescent="0.2">
      <c r="A129" s="294" t="s">
        <v>348</v>
      </c>
      <c r="B129" s="283" t="s">
        <v>245</v>
      </c>
      <c r="C129" s="5">
        <v>220</v>
      </c>
      <c r="D129" s="6">
        <v>42422</v>
      </c>
      <c r="E129" s="284">
        <f>IF($D129 = 0,0,DATEDIF($D129,$D$7,"D"))</f>
        <v>2028</v>
      </c>
      <c r="F129" s="193">
        <f>((R129*$R$2)+(S129*$S$2)+(T129*$T$2)++(U129*$U$2)++(V129*$V$2)++(W129*$W$2)++(X129*$X$2)++(Y129*$Y$2)+(Z129*$Z$2)+(AA129*$AA$2)+(AB129*$AB$2)+(AC129*$AC$2)+(AD129*$AD$2)+(AE129*$AE$2)+(AF129*$AF$2)+(AG129*$AG$2)+(AH129*$AH$2)+(AI129*$AI$2)+(AJ129*$AJ$2)+(AK129*$AK$2)+(AL129*$AL$2)+(AM129*$AM$2)+(AN129*$AN$2)+(AO129*$AO$2)+(AP129*$AP$2)+(AQ129*$AQ$2)+(AR129*$AR$2)+(AS129*$AS$2)+(AT129*$AT$2)+(AU129*$AU$2)+(AV129*$AV$2)+(AW129*$AW$2))</f>
        <v>160</v>
      </c>
      <c r="G129" s="8" t="s">
        <v>6</v>
      </c>
      <c r="H129" s="9"/>
      <c r="I129" s="9"/>
      <c r="J129" s="9"/>
      <c r="K129" s="93">
        <f>+F129-I129+J129-H129</f>
        <v>160</v>
      </c>
      <c r="L129" s="64">
        <v>160</v>
      </c>
      <c r="M129" s="275">
        <f>+K129-L129</f>
        <v>0</v>
      </c>
      <c r="N129" s="275"/>
      <c r="O129" s="275"/>
      <c r="P129" s="253"/>
      <c r="Q129" s="293"/>
      <c r="R129" s="5"/>
      <c r="S129" s="8"/>
      <c r="T129" s="8"/>
      <c r="U129" s="8"/>
      <c r="V129" s="8">
        <v>1</v>
      </c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194">
        <f>IF($G129="Youth 0-3",1,0)</f>
        <v>0</v>
      </c>
      <c r="AY129" s="194">
        <f>IF($G129="Youth 4-11",1,0)</f>
        <v>0</v>
      </c>
      <c r="AZ129" s="194">
        <f>IF($G129="Youth 12-15",1,0)</f>
        <v>0</v>
      </c>
      <c r="BA129" s="194">
        <f>IF($G129="Addict",1,0)</f>
        <v>0</v>
      </c>
      <c r="BB129" s="194">
        <f>IF($G129="Non-Addict",1,0)</f>
        <v>0</v>
      </c>
      <c r="BC129" s="194">
        <f>IF($G129="Free Reg Certificate",1,0)</f>
        <v>0</v>
      </c>
      <c r="BD129" s="194">
        <f>IF($G129="Newcomer",1,0)</f>
        <v>0</v>
      </c>
      <c r="BE129" s="194">
        <f>IF($G129="Committee",1,0)</f>
        <v>1</v>
      </c>
      <c r="BF129" s="194">
        <f>IF($G129="Treatment",1,0)</f>
        <v>0</v>
      </c>
      <c r="BG129" s="194">
        <f>IF($G129="Meeting Sponsored",1,0)</f>
        <v>0</v>
      </c>
      <c r="BH129" s="194">
        <f>IF($G129="Programming",1,0)</f>
        <v>0</v>
      </c>
      <c r="BI129" s="194">
        <f>IF($G129="Hardship",1,0)</f>
        <v>0</v>
      </c>
      <c r="BJ129" s="194">
        <f>IF($G129="Refund",1,0)</f>
        <v>0</v>
      </c>
      <c r="BK129" s="194">
        <f>IF($G129="Vermilion Bucks",1,0)</f>
        <v>0</v>
      </c>
      <c r="BL129" s="194">
        <f>IF($G129="Other",1,0)</f>
        <v>0</v>
      </c>
      <c r="BM129" s="286"/>
      <c r="BN129" s="286"/>
      <c r="BO129" s="286">
        <f>SUM(AX129:BL129)</f>
        <v>1</v>
      </c>
      <c r="BP129" s="287">
        <f>SUM(R129:AW129)</f>
        <v>1</v>
      </c>
      <c r="BQ129" s="287">
        <f>+BO129+BP129</f>
        <v>2</v>
      </c>
    </row>
    <row r="130" spans="1:85" s="7" customFormat="1" ht="10.199999999999999" customHeight="1" x14ac:dyDescent="0.2">
      <c r="A130" s="294" t="s">
        <v>441</v>
      </c>
      <c r="B130" s="177"/>
      <c r="C130" s="5"/>
      <c r="D130" s="6"/>
      <c r="E130" s="284">
        <f>IF($D130 = 0,0,DATEDIF($D130,$D$7,"D"))</f>
        <v>0</v>
      </c>
      <c r="F130" s="193">
        <f>((R130*$R$2)+(S130*$S$2)+(T130*$T$2)++(U130*$U$2)++(V130*$V$2)++(W130*$W$2)++(X130*$X$2)++(Y130*$Y$2)+(Z130*$Z$2)+(AA130*$AA$2)+(AB130*$AB$2)+(AC130*$AC$2)+(AD130*$AD$2)+(AE130*$AE$2)+(AF130*$AF$2)+(AG130*$AG$2)+(AH130*$AH$2)+(AI130*$AI$2)+(AJ130*$AJ$2)+(AK130*$AK$2)+(AL130*$AL$2)+(AM130*$AM$2)+(AN130*$AN$2)+(AO130*$AO$2)+(AP130*$AP$2)+(AQ130*$AQ$2)+(AR130*$AR$2)+(AS130*$AS$2)+(AT130*$AT$2)+(AU130*$AU$2)+(AV130*$AV$2)+(AW130*$AW$2))</f>
        <v>100</v>
      </c>
      <c r="G130" s="8" t="s">
        <v>94</v>
      </c>
      <c r="H130" s="9">
        <v>100</v>
      </c>
      <c r="I130" s="9"/>
      <c r="J130" s="9"/>
      <c r="K130" s="93">
        <f>+F130-I130+J130-H130</f>
        <v>0</v>
      </c>
      <c r="L130" s="64">
        <v>0</v>
      </c>
      <c r="M130" s="275">
        <f>+K130-L130</f>
        <v>0</v>
      </c>
      <c r="N130" s="275"/>
      <c r="O130" s="275"/>
      <c r="P130" s="253"/>
      <c r="Q130" s="293"/>
      <c r="R130" s="5"/>
      <c r="S130" s="8">
        <v>1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194">
        <f>IF($G130="Youth 0-3",1,0)</f>
        <v>0</v>
      </c>
      <c r="AY130" s="194">
        <f>IF($G130="Youth 4-11",1,0)</f>
        <v>0</v>
      </c>
      <c r="AZ130" s="194">
        <f>IF($G130="Youth 12-15",1,0)</f>
        <v>0</v>
      </c>
      <c r="BA130" s="194">
        <f>IF($G130="Addict",1,0)</f>
        <v>0</v>
      </c>
      <c r="BB130" s="194">
        <f>IF($G130="Non-Addict",1,0)</f>
        <v>0</v>
      </c>
      <c r="BC130" s="194">
        <f>IF($G130="Free Reg Certificate",1,0)</f>
        <v>0</v>
      </c>
      <c r="BD130" s="194">
        <f>IF($G130="Newcomer",1,0)</f>
        <v>0</v>
      </c>
      <c r="BE130" s="194">
        <f>IF($G130="Committee",1,0)</f>
        <v>0</v>
      </c>
      <c r="BF130" s="194">
        <f>IF($G130="Treatment",1,0)</f>
        <v>0</v>
      </c>
      <c r="BG130" s="194">
        <f>IF($G130="Meeting Sponsored",1,0)</f>
        <v>0</v>
      </c>
      <c r="BH130" s="194">
        <f>IF($G130="Programming",1,0)</f>
        <v>0</v>
      </c>
      <c r="BI130" s="194">
        <f>IF($G130="Hardship",1,0)</f>
        <v>1</v>
      </c>
      <c r="BJ130" s="194">
        <f>IF($G130="Refund",1,0)</f>
        <v>0</v>
      </c>
      <c r="BK130" s="194">
        <f>IF($G130="Vermilion Bucks",1,0)</f>
        <v>0</v>
      </c>
      <c r="BL130" s="194">
        <f>IF($G130="Other",1,0)</f>
        <v>0</v>
      </c>
      <c r="BM130" s="286"/>
      <c r="BN130" s="286"/>
      <c r="BO130" s="286">
        <f>SUM(AX130:BL130)</f>
        <v>1</v>
      </c>
      <c r="BP130" s="287">
        <f>SUM(R130:AW130)</f>
        <v>1</v>
      </c>
      <c r="BQ130" s="287">
        <f>+BO130+BP130</f>
        <v>2</v>
      </c>
    </row>
    <row r="131" spans="1:85" s="7" customFormat="1" x14ac:dyDescent="0.2">
      <c r="A131" s="294" t="s">
        <v>503</v>
      </c>
      <c r="B131" s="283" t="s">
        <v>504</v>
      </c>
      <c r="C131" s="5">
        <v>265</v>
      </c>
      <c r="D131" s="6">
        <v>44428</v>
      </c>
      <c r="E131" s="284">
        <f>IF($D131 = 0,0,DATEDIF($D131,$D$7,"D"))</f>
        <v>22</v>
      </c>
      <c r="F131" s="193">
        <f>((R131*$R$2)+(S131*$S$2)+(T131*$T$2)++(U131*$U$2)++(V131*$V$2)++(W131*$W$2)++(X131*$X$2)++(Y131*$Y$2)+(Z131*$Z$2)+(AA131*$AA$2)+(AB131*$AB$2)+(AC131*$AC$2)+(AD131*$AD$2)+(AE131*$AE$2)+(AF131*$AF$2)+(AG131*$AG$2)+(AH131*$AH$2)+(AI131*$AI$2)+(AJ131*$AJ$2)+(AK131*$AK$2)+(AL131*$AL$2)+(AM131*$AM$2)+(AN131*$AN$2)+(AO131*$AO$2)+(AP131*$AP$2)+(AQ131*$AQ$2)+(AR131*$AR$2)+(AS131*$AS$2)+(AT131*$AT$2)+(AU131*$AU$2)+(AV131*$AV$2)+(AW131*$AW$2))</f>
        <v>50</v>
      </c>
      <c r="G131" s="8" t="s">
        <v>27</v>
      </c>
      <c r="H131" s="9">
        <v>50</v>
      </c>
      <c r="I131" s="9"/>
      <c r="J131" s="9"/>
      <c r="K131" s="93">
        <f>+F131-I131+J131-H131</f>
        <v>0</v>
      </c>
      <c r="L131" s="64">
        <v>0</v>
      </c>
      <c r="M131" s="275">
        <f>+K131-L131</f>
        <v>0</v>
      </c>
      <c r="N131" s="275"/>
      <c r="O131" s="275"/>
      <c r="P131" s="253"/>
      <c r="Q131" s="293"/>
      <c r="R131" s="5">
        <v>1</v>
      </c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194">
        <f>IF($G131="Youth 0-3",1,0)</f>
        <v>0</v>
      </c>
      <c r="AY131" s="194">
        <f>IF($G131="Youth 4-11",1,0)</f>
        <v>0</v>
      </c>
      <c r="AZ131" s="194">
        <f>IF($G131="Youth 12-15",1,0)</f>
        <v>0</v>
      </c>
      <c r="BA131" s="194">
        <f>IF($G131="Addict",1,0)</f>
        <v>0</v>
      </c>
      <c r="BB131" s="194">
        <f>IF($G131="Non-Addict",1,0)</f>
        <v>0</v>
      </c>
      <c r="BC131" s="194">
        <f>IF($G131="Free Reg Certificate",1,0)</f>
        <v>0</v>
      </c>
      <c r="BD131" s="194">
        <f>IF($G131="Newcomer",1,0)</f>
        <v>1</v>
      </c>
      <c r="BE131" s="194">
        <f>IF($G131="Committee",1,0)</f>
        <v>0</v>
      </c>
      <c r="BF131" s="194">
        <f>IF($G131="Treatment",1,0)</f>
        <v>0</v>
      </c>
      <c r="BG131" s="194">
        <f>IF($G131="Meeting Sponsored",1,0)</f>
        <v>0</v>
      </c>
      <c r="BH131" s="194">
        <f>IF($G131="Programming",1,0)</f>
        <v>0</v>
      </c>
      <c r="BI131" s="194">
        <f>IF($G131="Hardship",1,0)</f>
        <v>0</v>
      </c>
      <c r="BJ131" s="194">
        <f>IF($G131="Refund",1,0)</f>
        <v>0</v>
      </c>
      <c r="BK131" s="194">
        <f>IF($G131="Vermilion Bucks",1,0)</f>
        <v>0</v>
      </c>
      <c r="BL131" s="194">
        <f>IF($G131="Other",1,0)</f>
        <v>0</v>
      </c>
      <c r="BM131" s="286"/>
      <c r="BN131" s="286"/>
      <c r="BO131" s="286">
        <f>SUM(AX131:BL131)</f>
        <v>1</v>
      </c>
      <c r="BP131" s="287">
        <f>SUM(R131:AW131)</f>
        <v>1</v>
      </c>
      <c r="BQ131" s="287">
        <f>+BO131+BP131</f>
        <v>2</v>
      </c>
    </row>
    <row r="132" spans="1:85" s="7" customFormat="1" x14ac:dyDescent="0.2">
      <c r="A132" s="294" t="s">
        <v>443</v>
      </c>
      <c r="B132" s="177"/>
      <c r="C132" s="5"/>
      <c r="D132" s="6">
        <v>44027</v>
      </c>
      <c r="E132" s="284">
        <f>IF($D132 = 0,0,DATEDIF($D132,$D$7,"D"))</f>
        <v>423</v>
      </c>
      <c r="F132" s="193">
        <f>((R132*$R$2)+(S132*$S$2)+(T132*$T$2)++(U132*$U$2)++(V132*$V$2)++(W132*$W$2)++(X132*$X$2)++(Y132*$Y$2)+(Z132*$Z$2)+(AA132*$AA$2)+(AB132*$AB$2)+(AC132*$AC$2)+(AD132*$AD$2)+(AE132*$AE$2)+(AF132*$AF$2)+(AG132*$AG$2)+(AH132*$AH$2)+(AI132*$AI$2)+(AJ132*$AJ$2)+(AK132*$AK$2)+(AL132*$AL$2)+(AM132*$AM$2)+(AN132*$AN$2)+(AO132*$AO$2)+(AP132*$AP$2)+(AQ132*$AQ$2)+(AR132*$AR$2)+(AS132*$AS$2)+(AT132*$AT$2)+(AU132*$AU$2)+(AV132*$AV$2)+(AW132*$AW$2))</f>
        <v>100</v>
      </c>
      <c r="G132" s="8" t="s">
        <v>38</v>
      </c>
      <c r="H132" s="9"/>
      <c r="I132" s="9"/>
      <c r="J132" s="9"/>
      <c r="K132" s="93">
        <f>+F132-I132+J132-H132</f>
        <v>100</v>
      </c>
      <c r="L132" s="64">
        <v>100</v>
      </c>
      <c r="M132" s="275">
        <f>+K132-L132</f>
        <v>0</v>
      </c>
      <c r="N132" s="275"/>
      <c r="O132" s="275"/>
      <c r="P132" s="253"/>
      <c r="Q132" s="293"/>
      <c r="R132" s="5"/>
      <c r="S132" s="8">
        <v>1</v>
      </c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194">
        <f>IF($G132="Youth 0-3",1,0)</f>
        <v>0</v>
      </c>
      <c r="AY132" s="194">
        <f>IF($G132="Youth 4-11",1,0)</f>
        <v>0</v>
      </c>
      <c r="AZ132" s="194">
        <f>IF($G132="Youth 12-15",1,0)</f>
        <v>0</v>
      </c>
      <c r="BA132" s="194">
        <f>IF($G132="Addict",1,0)</f>
        <v>1</v>
      </c>
      <c r="BB132" s="194">
        <f>IF($G132="Non-Addict",1,0)</f>
        <v>0</v>
      </c>
      <c r="BC132" s="194">
        <f>IF($G132="Free Reg Certificate",1,0)</f>
        <v>0</v>
      </c>
      <c r="BD132" s="194">
        <f>IF($G132="Newcomer",1,0)</f>
        <v>0</v>
      </c>
      <c r="BE132" s="194">
        <f>IF($G132="Committee",1,0)</f>
        <v>0</v>
      </c>
      <c r="BF132" s="194">
        <f>IF($G132="Treatment",1,0)</f>
        <v>0</v>
      </c>
      <c r="BG132" s="194">
        <f>IF($G132="Meeting Sponsored",1,0)</f>
        <v>0</v>
      </c>
      <c r="BH132" s="194">
        <f>IF($G132="Programming",1,0)</f>
        <v>0</v>
      </c>
      <c r="BI132" s="194">
        <f>IF($G132="Hardship",1,0)</f>
        <v>0</v>
      </c>
      <c r="BJ132" s="194">
        <f>IF($G132="Refund",1,0)</f>
        <v>0</v>
      </c>
      <c r="BK132" s="194">
        <f>IF($G132="Vermilion Bucks",1,0)</f>
        <v>0</v>
      </c>
      <c r="BL132" s="194">
        <f>IF($G132="Other",1,0)</f>
        <v>0</v>
      </c>
      <c r="BM132" s="286"/>
      <c r="BN132" s="286"/>
      <c r="BO132" s="286">
        <f>SUM(AX132:BL132)</f>
        <v>1</v>
      </c>
      <c r="BP132" s="287">
        <f>SUM(R132:AW132)</f>
        <v>1</v>
      </c>
      <c r="BQ132" s="287">
        <f>+BO132+BP132</f>
        <v>2</v>
      </c>
    </row>
    <row r="133" spans="1:85" s="7" customFormat="1" x14ac:dyDescent="0.2">
      <c r="A133" s="294" t="s">
        <v>485</v>
      </c>
      <c r="B133" s="283" t="s">
        <v>486</v>
      </c>
      <c r="C133" s="5">
        <v>90</v>
      </c>
      <c r="D133" s="6">
        <v>37777</v>
      </c>
      <c r="E133" s="284">
        <f>IF($D133 = 0,0,DATEDIF($D133,$D$7,"D"))</f>
        <v>6673</v>
      </c>
      <c r="F133" s="193">
        <f>((R133*$R$2)+(S133*$S$2)+(T133*$T$2)++(U133*$U$2)++(V133*$V$2)++(W133*$W$2)++(X133*$X$2)++(Y133*$Y$2)+(Z133*$Z$2)+(AA133*$AA$2)+(AB133*$AB$2)+(AC133*$AC$2)+(AD133*$AD$2)+(AE133*$AE$2)+(AF133*$AF$2)+(AG133*$AG$2)+(AH133*$AH$2)+(AI133*$AI$2)+(AJ133*$AJ$2)+(AK133*$AK$2)+(AL133*$AL$2)+(AM133*$AM$2)+(AN133*$AN$2)+(AO133*$AO$2)+(AP133*$AP$2)+(AQ133*$AQ$2)+(AR133*$AR$2)+(AS133*$AS$2)+(AT133*$AT$2)+(AU133*$AU$2)+(AV133*$AV$2)+(AW133*$AW$2))</f>
        <v>50</v>
      </c>
      <c r="G133" s="8" t="s">
        <v>38</v>
      </c>
      <c r="H133" s="9"/>
      <c r="I133" s="9"/>
      <c r="J133" s="9">
        <v>10</v>
      </c>
      <c r="K133" s="93">
        <f>+F133-I133+J133-H133</f>
        <v>60</v>
      </c>
      <c r="L133" s="64">
        <v>60</v>
      </c>
      <c r="M133" s="275">
        <f>+K133-L133</f>
        <v>0</v>
      </c>
      <c r="N133" s="275"/>
      <c r="O133" s="275"/>
      <c r="P133" s="253"/>
      <c r="Q133" s="293"/>
      <c r="R133" s="5">
        <v>1</v>
      </c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194">
        <f>IF($G133="Youth 0-3",1,0)</f>
        <v>0</v>
      </c>
      <c r="AY133" s="194">
        <f>IF($G133="Youth 4-11",1,0)</f>
        <v>0</v>
      </c>
      <c r="AZ133" s="194">
        <f>IF($G133="Youth 12-15",1,0)</f>
        <v>0</v>
      </c>
      <c r="BA133" s="194">
        <f>IF($G133="Addict",1,0)</f>
        <v>1</v>
      </c>
      <c r="BB133" s="194">
        <f>IF($G133="Non-Addict",1,0)</f>
        <v>0</v>
      </c>
      <c r="BC133" s="194">
        <f>IF($G133="Free Reg Certificate",1,0)</f>
        <v>0</v>
      </c>
      <c r="BD133" s="194">
        <f>IF($G133="Newcomer",1,0)</f>
        <v>0</v>
      </c>
      <c r="BE133" s="194">
        <f>IF($G133="Committee",1,0)</f>
        <v>0</v>
      </c>
      <c r="BF133" s="194">
        <f>IF($G133="Treatment",1,0)</f>
        <v>0</v>
      </c>
      <c r="BG133" s="194">
        <f>IF($G133="Meeting Sponsored",1,0)</f>
        <v>0</v>
      </c>
      <c r="BH133" s="194">
        <f>IF($G133="Programming",1,0)</f>
        <v>0</v>
      </c>
      <c r="BI133" s="194">
        <f>IF($G133="Hardship",1,0)</f>
        <v>0</v>
      </c>
      <c r="BJ133" s="194">
        <f>IF($G133="Refund",1,0)</f>
        <v>0</v>
      </c>
      <c r="BK133" s="194">
        <f>IF($G133="Vermilion Bucks",1,0)</f>
        <v>0</v>
      </c>
      <c r="BL133" s="194">
        <f>IF($G133="Other",1,0)</f>
        <v>0</v>
      </c>
      <c r="BM133" s="286"/>
      <c r="BN133" s="286"/>
      <c r="BO133" s="286">
        <f>SUM(AX133:BL133)</f>
        <v>1</v>
      </c>
      <c r="BP133" s="287">
        <f>SUM(R133:AW133)</f>
        <v>1</v>
      </c>
      <c r="BQ133" s="287">
        <f>+BO133+BP133</f>
        <v>2</v>
      </c>
    </row>
    <row r="134" spans="1:85" s="7" customFormat="1" x14ac:dyDescent="0.2">
      <c r="A134" s="294" t="s">
        <v>431</v>
      </c>
      <c r="B134" s="177"/>
      <c r="C134" s="5">
        <v>110</v>
      </c>
      <c r="D134" s="6">
        <v>37962</v>
      </c>
      <c r="E134" s="284">
        <f>IF($D134 = 0,0,DATEDIF($D134,$D$7,"D"))</f>
        <v>6488</v>
      </c>
      <c r="F134" s="193">
        <f>((R134*$R$2)+(S134*$S$2)+(T134*$T$2)++(U134*$U$2)++(V134*$V$2)++(W134*$W$2)++(X134*$X$2)++(Y134*$Y$2)+(Z134*$Z$2)+(AA134*$AA$2)+(AB134*$AB$2)+(AC134*$AC$2)+(AD134*$AD$2)+(AE134*$AE$2)+(AF134*$AF$2)+(AG134*$AG$2)+(AH134*$AH$2)+(AI134*$AI$2)+(AJ134*$AJ$2)+(AK134*$AK$2)+(AL134*$AL$2)+(AM134*$AM$2)+(AN134*$AN$2)+(AO134*$AO$2)+(AP134*$AP$2)+(AQ134*$AQ$2)+(AR134*$AR$2)+(AS134*$AS$2)+(AT134*$AT$2)+(AU134*$AU$2)+(AV134*$AV$2)+(AW134*$AW$2))</f>
        <v>125</v>
      </c>
      <c r="G134" s="8" t="s">
        <v>539</v>
      </c>
      <c r="H134" s="9">
        <v>125</v>
      </c>
      <c r="I134" s="9"/>
      <c r="J134" s="9"/>
      <c r="K134" s="93">
        <f>+F134-I134+J134-H134</f>
        <v>0</v>
      </c>
      <c r="L134" s="64">
        <v>0</v>
      </c>
      <c r="M134" s="275">
        <f>+K134-L134</f>
        <v>0</v>
      </c>
      <c r="N134" s="275"/>
      <c r="O134" s="275"/>
      <c r="P134" s="253"/>
      <c r="Q134" s="293"/>
      <c r="R134" s="5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>
        <v>1</v>
      </c>
      <c r="AS134" s="8"/>
      <c r="AT134" s="8"/>
      <c r="AU134" s="8"/>
      <c r="AV134" s="8"/>
      <c r="AW134" s="8"/>
      <c r="AX134" s="194">
        <f>IF($G134="Youth 0-3",1,0)</f>
        <v>0</v>
      </c>
      <c r="AY134" s="194">
        <f>IF($G134="Youth 4-11",1,0)</f>
        <v>0</v>
      </c>
      <c r="AZ134" s="194">
        <f>IF($G134="Youth 12-15",1,0)</f>
        <v>0</v>
      </c>
      <c r="BA134" s="194">
        <f>IF($G134="Addict",1,0)</f>
        <v>0</v>
      </c>
      <c r="BB134" s="194">
        <f>IF($G134="Non-Addict",1,0)</f>
        <v>0</v>
      </c>
      <c r="BC134" s="194">
        <f>IF($G134="Free Reg Certificate",1,0)</f>
        <v>0</v>
      </c>
      <c r="BD134" s="194">
        <f>IF($G134="Newcomer",1,0)</f>
        <v>0</v>
      </c>
      <c r="BE134" s="194">
        <f>IF($G134="Committee",1,0)</f>
        <v>0</v>
      </c>
      <c r="BF134" s="194">
        <f>IF($G134="Treatment",1,0)</f>
        <v>0</v>
      </c>
      <c r="BG134" s="194">
        <f>IF($G134="Meeting Sponsored",1,0)</f>
        <v>0</v>
      </c>
      <c r="BH134" s="194">
        <f>IF($G134="Programming",1,0)</f>
        <v>1</v>
      </c>
      <c r="BI134" s="194">
        <f>IF($G134="Hardship",1,0)</f>
        <v>0</v>
      </c>
      <c r="BJ134" s="194">
        <f>IF($G134="Refund",1,0)</f>
        <v>0</v>
      </c>
      <c r="BK134" s="194">
        <f>IF($G134="Vermilion Bucks",1,0)</f>
        <v>0</v>
      </c>
      <c r="BL134" s="194">
        <f>IF($G134="Other",1,0)</f>
        <v>0</v>
      </c>
      <c r="BM134" s="286"/>
      <c r="BN134" s="286"/>
      <c r="BO134" s="286">
        <f>SUM(AX134:BL134)</f>
        <v>1</v>
      </c>
      <c r="BP134" s="287">
        <f>SUM(R134:AW134)</f>
        <v>1</v>
      </c>
      <c r="BQ134" s="287">
        <f>+BO134+BP134</f>
        <v>2</v>
      </c>
    </row>
    <row r="135" spans="1:85" s="7" customFormat="1" ht="10.199999999999999" customHeight="1" x14ac:dyDescent="0.2">
      <c r="A135" s="294" t="s">
        <v>523</v>
      </c>
      <c r="B135" s="177" t="s">
        <v>263</v>
      </c>
      <c r="C135" s="5">
        <v>40</v>
      </c>
      <c r="D135" s="6">
        <v>43275</v>
      </c>
      <c r="E135" s="284">
        <f>IF($D135 = 0,0,DATEDIF($D135,$D$7,"D"))</f>
        <v>1175</v>
      </c>
      <c r="F135" s="193">
        <f>((R135*$R$2)+(S135*$S$2)+(T135*$T$2)++(U135*$U$2)++(V135*$V$2)++(W135*$W$2)++(X135*$X$2)++(Y135*$Y$2)+(Z135*$Z$2)+(AA135*$AA$2)+(AB135*$AB$2)+(AC135*$AC$2)+(AD135*$AD$2)+(AE135*$AE$2)+(AF135*$AF$2)+(AG135*$AG$2)+(AH135*$AH$2)+(AI135*$AI$2)+(AJ135*$AJ$2)+(AK135*$AK$2)+(AL135*$AL$2)+(AM135*$AM$2)+(AN135*$AN$2)+(AO135*$AO$2)+(AP135*$AP$2)+(AQ135*$AQ$2)+(AR135*$AR$2)+(AS135*$AS$2)+(AT135*$AT$2)+(AU135*$AU$2)+(AV135*$AV$2)+(AW135*$AW$2))</f>
        <v>100</v>
      </c>
      <c r="G135" s="8" t="s">
        <v>38</v>
      </c>
      <c r="H135" s="9"/>
      <c r="I135" s="9"/>
      <c r="J135" s="9"/>
      <c r="K135" s="93">
        <f>+F135-I135+J135-H135</f>
        <v>100</v>
      </c>
      <c r="L135" s="64">
        <v>100</v>
      </c>
      <c r="M135" s="275">
        <f>+K135-L135</f>
        <v>0</v>
      </c>
      <c r="N135" s="275" t="s">
        <v>549</v>
      </c>
      <c r="O135" s="275"/>
      <c r="P135" s="253"/>
      <c r="Q135" s="293"/>
      <c r="R135" s="5"/>
      <c r="S135" s="8">
        <v>1</v>
      </c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194">
        <f>IF($G135="Youth 0-3",1,0)</f>
        <v>0</v>
      </c>
      <c r="AY135" s="194">
        <f>IF($G135="Youth 4-11",1,0)</f>
        <v>0</v>
      </c>
      <c r="AZ135" s="194">
        <f>IF($G135="Youth 12-15",1,0)</f>
        <v>0</v>
      </c>
      <c r="BA135" s="194">
        <f>IF($G135="Addict",1,0)</f>
        <v>1</v>
      </c>
      <c r="BB135" s="194">
        <f>IF($G135="Non-Addict",1,0)</f>
        <v>0</v>
      </c>
      <c r="BC135" s="194">
        <f>IF($G135="Free Reg Certificate",1,0)</f>
        <v>0</v>
      </c>
      <c r="BD135" s="194">
        <f>IF($G135="Newcomer",1,0)</f>
        <v>0</v>
      </c>
      <c r="BE135" s="194">
        <f>IF($G135="Committee",1,0)</f>
        <v>0</v>
      </c>
      <c r="BF135" s="194">
        <f>IF($G135="Treatment",1,0)</f>
        <v>0</v>
      </c>
      <c r="BG135" s="194">
        <f>IF($G135="Meeting Sponsored",1,0)</f>
        <v>0</v>
      </c>
      <c r="BH135" s="194">
        <f>IF($G135="Programming",1,0)</f>
        <v>0</v>
      </c>
      <c r="BI135" s="194">
        <f>IF($G135="Hardship",1,0)</f>
        <v>0</v>
      </c>
      <c r="BJ135" s="194">
        <f>IF($G135="Refund",1,0)</f>
        <v>0</v>
      </c>
      <c r="BK135" s="194">
        <f>IF($G135="Vermilion Bucks",1,0)</f>
        <v>0</v>
      </c>
      <c r="BL135" s="194">
        <f>IF($G135="Other",1,0)</f>
        <v>0</v>
      </c>
      <c r="BM135" s="286"/>
      <c r="BN135" s="286"/>
      <c r="BO135" s="286">
        <f>SUM(AX135:BL135)</f>
        <v>1</v>
      </c>
      <c r="BP135" s="287">
        <f>SUM(R135:AW135)</f>
        <v>1</v>
      </c>
      <c r="BQ135" s="287">
        <f>+BO135+BP135</f>
        <v>2</v>
      </c>
    </row>
    <row r="136" spans="1:85" s="7" customFormat="1" ht="10.199999999999999" customHeight="1" x14ac:dyDescent="0.2">
      <c r="A136" s="294" t="s">
        <v>378</v>
      </c>
      <c r="B136" s="283" t="s">
        <v>452</v>
      </c>
      <c r="C136" s="5">
        <v>85</v>
      </c>
      <c r="D136" s="6">
        <v>42695</v>
      </c>
      <c r="E136" s="284">
        <f>IF($D136 = 0,0,DATEDIF($D136,$D$7,"D"))</f>
        <v>1755</v>
      </c>
      <c r="F136" s="193">
        <f>((R136*$R$2)+(S136*$S$2)+(T136*$T$2)++(U136*$U$2)++(V136*$V$2)++(W136*$W$2)++(X136*$X$2)++(Y136*$Y$2)+(Z136*$Z$2)+(AA136*$AA$2)+(AB136*$AB$2)+(AC136*$AC$2)+(AD136*$AD$2)+(AE136*$AE$2)+(AF136*$AF$2)+(AG136*$AG$2)+(AH136*$AH$2)+(AI136*$AI$2)+(AJ136*$AJ$2)+(AK136*$AK$2)+(AL136*$AL$2)+(AM136*$AM$2)+(AN136*$AN$2)+(AO136*$AO$2)+(AP136*$AP$2)+(AQ136*$AQ$2)+(AR136*$AR$2)+(AS136*$AS$2)+(AT136*$AT$2)+(AU136*$AU$2)+(AV136*$AV$2)+(AW136*$AW$2))</f>
        <v>100</v>
      </c>
      <c r="G136" s="8" t="s">
        <v>38</v>
      </c>
      <c r="H136" s="9"/>
      <c r="I136" s="9"/>
      <c r="J136" s="9">
        <v>50</v>
      </c>
      <c r="K136" s="93">
        <f>+F136-I136+J136-H136</f>
        <v>150</v>
      </c>
      <c r="L136" s="64">
        <v>150</v>
      </c>
      <c r="M136" s="275">
        <f>+K136-L136</f>
        <v>0</v>
      </c>
      <c r="N136" s="275"/>
      <c r="O136" s="275"/>
      <c r="P136" s="253"/>
      <c r="Q136" s="293"/>
      <c r="R136" s="5"/>
      <c r="S136" s="8">
        <v>1</v>
      </c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194">
        <f>IF($G136="Youth 0-3",1,0)</f>
        <v>0</v>
      </c>
      <c r="AY136" s="194">
        <f>IF($G136="Youth 4-11",1,0)</f>
        <v>0</v>
      </c>
      <c r="AZ136" s="194">
        <f>IF($G136="Youth 12-15",1,0)</f>
        <v>0</v>
      </c>
      <c r="BA136" s="194">
        <f>IF($G136="Addict",1,0)</f>
        <v>1</v>
      </c>
      <c r="BB136" s="194">
        <f>IF($G136="Non-Addict",1,0)</f>
        <v>0</v>
      </c>
      <c r="BC136" s="194">
        <f>IF($G136="Free Reg Certificate",1,0)</f>
        <v>0</v>
      </c>
      <c r="BD136" s="194">
        <f>IF($G136="Newcomer",1,0)</f>
        <v>0</v>
      </c>
      <c r="BE136" s="194">
        <f>IF($G136="Committee",1,0)</f>
        <v>0</v>
      </c>
      <c r="BF136" s="194">
        <f>IF($G136="Treatment",1,0)</f>
        <v>0</v>
      </c>
      <c r="BG136" s="194">
        <f>IF($G136="Meeting Sponsored",1,0)</f>
        <v>0</v>
      </c>
      <c r="BH136" s="194">
        <f>IF($G136="Programming",1,0)</f>
        <v>0</v>
      </c>
      <c r="BI136" s="194">
        <f>IF($G136="Hardship",1,0)</f>
        <v>0</v>
      </c>
      <c r="BJ136" s="194">
        <f>IF($G136="Refund",1,0)</f>
        <v>0</v>
      </c>
      <c r="BK136" s="194">
        <f>IF($G136="Vermilion Bucks",1,0)</f>
        <v>0</v>
      </c>
      <c r="BL136" s="194">
        <f>IF($G136="Other",1,0)</f>
        <v>0</v>
      </c>
      <c r="BM136" s="286"/>
      <c r="BN136" s="286"/>
      <c r="BO136" s="286">
        <f>SUM(AX136:BL136)</f>
        <v>1</v>
      </c>
      <c r="BP136" s="287">
        <f>SUM(R136:AW136)</f>
        <v>1</v>
      </c>
      <c r="BQ136" s="287">
        <f>+BO136+BP136</f>
        <v>2</v>
      </c>
    </row>
    <row r="137" spans="1:85" s="7" customFormat="1" x14ac:dyDescent="0.2">
      <c r="A137" s="294" t="s">
        <v>359</v>
      </c>
      <c r="B137" s="283" t="s">
        <v>381</v>
      </c>
      <c r="C137" s="5">
        <v>197</v>
      </c>
      <c r="D137" s="6"/>
      <c r="E137" s="284">
        <f>IF($D137 = 0,0,DATEDIF($D137,$D$7,"D"))</f>
        <v>0</v>
      </c>
      <c r="F137" s="193">
        <f>((R137*$R$2)+(S137*$S$2)+(T137*$T$2)++(U137*$U$2)++(V137*$V$2)++(W137*$W$2)++(X137*$X$2)++(Y137*$Y$2)+(Z137*$Z$2)+(AA137*$AA$2)+(AB137*$AB$2)+(AC137*$AC$2)+(AD137*$AD$2)+(AE137*$AE$2)+(AF137*$AF$2)+(AG137*$AG$2)+(AH137*$AH$2)+(AI137*$AI$2)+(AJ137*$AJ$2)+(AK137*$AK$2)+(AL137*$AL$2)+(AM137*$AM$2)+(AN137*$AN$2)+(AO137*$AO$2)+(AP137*$AP$2)+(AQ137*$AQ$2)+(AR137*$AR$2)+(AS137*$AS$2)+(AT137*$AT$2)+(AU137*$AU$2)+(AV137*$AV$2)+(AW137*$AW$2))</f>
        <v>125</v>
      </c>
      <c r="G137" s="8" t="s">
        <v>38</v>
      </c>
      <c r="H137" s="9"/>
      <c r="I137" s="9"/>
      <c r="J137" s="9"/>
      <c r="K137" s="93">
        <f>+F137-I137+J137-H137</f>
        <v>125</v>
      </c>
      <c r="L137" s="64">
        <v>125</v>
      </c>
      <c r="M137" s="275">
        <f>+K137-L137</f>
        <v>0</v>
      </c>
      <c r="N137" s="275"/>
      <c r="O137" s="275"/>
      <c r="P137" s="253"/>
      <c r="Q137" s="293"/>
      <c r="R137" s="5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>
        <v>1</v>
      </c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194">
        <f>IF($G137="Youth 0-3",1,0)</f>
        <v>0</v>
      </c>
      <c r="AY137" s="194">
        <f>IF($G137="Youth 4-11",1,0)</f>
        <v>0</v>
      </c>
      <c r="AZ137" s="194">
        <f>IF($G137="Youth 12-15",1,0)</f>
        <v>0</v>
      </c>
      <c r="BA137" s="194">
        <f>IF($G137="Addict",1,0)</f>
        <v>1</v>
      </c>
      <c r="BB137" s="194">
        <f>IF($G137="Non-Addict",1,0)</f>
        <v>0</v>
      </c>
      <c r="BC137" s="194">
        <f>IF($G137="Free Reg Certificate",1,0)</f>
        <v>0</v>
      </c>
      <c r="BD137" s="194">
        <f>IF($G137="Newcomer",1,0)</f>
        <v>0</v>
      </c>
      <c r="BE137" s="194">
        <f>IF($G137="Committee",1,0)</f>
        <v>0</v>
      </c>
      <c r="BF137" s="194">
        <f>IF($G137="Treatment",1,0)</f>
        <v>0</v>
      </c>
      <c r="BG137" s="194">
        <f>IF($G137="Meeting Sponsored",1,0)</f>
        <v>0</v>
      </c>
      <c r="BH137" s="194">
        <f>IF($G137="Programming",1,0)</f>
        <v>0</v>
      </c>
      <c r="BI137" s="194">
        <f>IF($G137="Hardship",1,0)</f>
        <v>0</v>
      </c>
      <c r="BJ137" s="194">
        <f>IF($G137="Refund",1,0)</f>
        <v>0</v>
      </c>
      <c r="BK137" s="194">
        <f>IF($G137="Vermilion Bucks",1,0)</f>
        <v>0</v>
      </c>
      <c r="BL137" s="194">
        <f>IF($G137="Other",1,0)</f>
        <v>0</v>
      </c>
      <c r="BM137" s="286"/>
      <c r="BN137" s="286"/>
      <c r="BO137" s="286">
        <f>SUM(AX137:BL137)</f>
        <v>1</v>
      </c>
      <c r="BP137" s="287">
        <f>SUM(R137:AW137)</f>
        <v>1</v>
      </c>
      <c r="BQ137" s="287">
        <f>+BO137+BP137</f>
        <v>2</v>
      </c>
    </row>
    <row r="138" spans="1:85" s="7" customFormat="1" x14ac:dyDescent="0.2">
      <c r="A138" s="294" t="s">
        <v>487</v>
      </c>
      <c r="B138" s="177"/>
      <c r="C138" s="5"/>
      <c r="D138" s="6"/>
      <c r="E138" s="284">
        <f>IF($D138 = 0,0,DATEDIF($D138,$D$7,"D"))</f>
        <v>0</v>
      </c>
      <c r="F138" s="193">
        <f>((R138*$R$2)+(S138*$S$2)+(T138*$T$2)++(U138*$U$2)++(V138*$V$2)++(W138*$W$2)++(X138*$X$2)++(Y138*$Y$2)+(Z138*$Z$2)+(AA138*$AA$2)+(AB138*$AB$2)+(AC138*$AC$2)+(AD138*$AD$2)+(AE138*$AE$2)+(AF138*$AF$2)+(AG138*$AG$2)+(AH138*$AH$2)+(AI138*$AI$2)+(AJ138*$AJ$2)+(AK138*$AK$2)+(AL138*$AL$2)+(AM138*$AM$2)+(AN138*$AN$2)+(AO138*$AO$2)+(AP138*$AP$2)+(AQ138*$AQ$2)+(AR138*$AR$2)+(AS138*$AS$2)+(AT138*$AT$2)+(AU138*$AU$2)+(AV138*$AV$2)+(AW138*$AW$2))</f>
        <v>125</v>
      </c>
      <c r="G138" s="8" t="s">
        <v>95</v>
      </c>
      <c r="H138" s="9"/>
      <c r="I138" s="9">
        <v>75</v>
      </c>
      <c r="J138" s="9"/>
      <c r="K138" s="93">
        <f>+F138-I138+J138-H138</f>
        <v>50</v>
      </c>
      <c r="L138" s="64">
        <v>50</v>
      </c>
      <c r="M138" s="275">
        <f>+K138-L138</f>
        <v>0</v>
      </c>
      <c r="N138" s="275"/>
      <c r="O138" s="275"/>
      <c r="P138" s="253"/>
      <c r="Q138" s="293"/>
      <c r="R138" s="5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>
        <v>1</v>
      </c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194">
        <f>IF($G138="Youth 0-3",1,0)</f>
        <v>0</v>
      </c>
      <c r="AY138" s="194">
        <f>IF($G138="Youth 4-11",1,0)</f>
        <v>1</v>
      </c>
      <c r="AZ138" s="194">
        <f>IF($G138="Youth 12-15",1,0)</f>
        <v>0</v>
      </c>
      <c r="BA138" s="194">
        <f>IF($G138="Addict",1,0)</f>
        <v>0</v>
      </c>
      <c r="BB138" s="194">
        <f>IF($G138="Non-Addict",1,0)</f>
        <v>0</v>
      </c>
      <c r="BC138" s="194">
        <f>IF($G138="Free Reg Certificate",1,0)</f>
        <v>0</v>
      </c>
      <c r="BD138" s="194">
        <f>IF($G138="Newcomer",1,0)</f>
        <v>0</v>
      </c>
      <c r="BE138" s="194">
        <f>IF($G138="Committee",1,0)</f>
        <v>0</v>
      </c>
      <c r="BF138" s="194">
        <f>IF($G138="Treatment",1,0)</f>
        <v>0</v>
      </c>
      <c r="BG138" s="194">
        <f>IF($G138="Meeting Sponsored",1,0)</f>
        <v>0</v>
      </c>
      <c r="BH138" s="194">
        <f>IF($G138="Programming",1,0)</f>
        <v>0</v>
      </c>
      <c r="BI138" s="194">
        <f>IF($G138="Hardship",1,0)</f>
        <v>0</v>
      </c>
      <c r="BJ138" s="194">
        <f>IF($G138="Refund",1,0)</f>
        <v>0</v>
      </c>
      <c r="BK138" s="194">
        <f>IF($G138="Vermilion Bucks",1,0)</f>
        <v>0</v>
      </c>
      <c r="BL138" s="194">
        <f>IF($G138="Other",1,0)</f>
        <v>0</v>
      </c>
      <c r="BM138" s="286"/>
      <c r="BN138" s="286"/>
      <c r="BO138" s="286">
        <f>SUM(AX138:BL138)</f>
        <v>1</v>
      </c>
      <c r="BP138" s="287">
        <f>SUM(R138:AW138)</f>
        <v>1</v>
      </c>
      <c r="BQ138" s="287">
        <f>+BO138+BP138</f>
        <v>2</v>
      </c>
    </row>
    <row r="139" spans="1:85" s="7" customFormat="1" ht="10.199999999999999" customHeight="1" x14ac:dyDescent="0.2">
      <c r="A139" s="294" t="s">
        <v>386</v>
      </c>
      <c r="B139" s="283" t="s">
        <v>387</v>
      </c>
      <c r="C139" s="5">
        <v>165</v>
      </c>
      <c r="D139" s="6">
        <v>33469</v>
      </c>
      <c r="E139" s="284">
        <f>IF($D139 = 0,0,DATEDIF($D139,$D$7,"D"))</f>
        <v>10981</v>
      </c>
      <c r="F139" s="193">
        <f>((R139*$R$2)+(S139*$S$2)+(T139*$T$2)++(U139*$U$2)++(V139*$V$2)++(W139*$W$2)++(X139*$X$2)++(Y139*$Y$2)+(Z139*$Z$2)+(AA139*$AA$2)+(AB139*$AB$2)+(AC139*$AC$2)+(AD139*$AD$2)+(AE139*$AE$2)+(AF139*$AF$2)+(AG139*$AG$2)+(AH139*$AH$2)+(AI139*$AI$2)+(AJ139*$AJ$2)+(AK139*$AK$2)+(AL139*$AL$2)+(AM139*$AM$2)+(AN139*$AN$2)+(AO139*$AO$2)+(AP139*$AP$2)+(AQ139*$AQ$2)+(AR139*$AR$2)+(AS139*$AS$2)+(AT139*$AT$2)+(AU139*$AU$2)+(AV139*$AV$2)+(AW139*$AW$2))</f>
        <v>100</v>
      </c>
      <c r="G139" s="8" t="s">
        <v>38</v>
      </c>
      <c r="H139" s="9"/>
      <c r="I139" s="9"/>
      <c r="J139" s="9"/>
      <c r="K139" s="93">
        <f>+F139-I139+J139-H139</f>
        <v>100</v>
      </c>
      <c r="L139" s="64">
        <v>100</v>
      </c>
      <c r="M139" s="275">
        <f>+K139-L139</f>
        <v>0</v>
      </c>
      <c r="N139" s="275"/>
      <c r="O139" s="275"/>
      <c r="P139" s="253"/>
      <c r="Q139" s="293"/>
      <c r="R139" s="5"/>
      <c r="S139" s="8">
        <v>1</v>
      </c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194">
        <f>IF($G139="Youth 0-3",1,0)</f>
        <v>0</v>
      </c>
      <c r="AY139" s="194">
        <f>IF($G139="Youth 4-11",1,0)</f>
        <v>0</v>
      </c>
      <c r="AZ139" s="194">
        <f>IF($G139="Youth 12-15",1,0)</f>
        <v>0</v>
      </c>
      <c r="BA139" s="194">
        <f>IF($G139="Addict",1,0)</f>
        <v>1</v>
      </c>
      <c r="BB139" s="194">
        <f>IF($G139="Non-Addict",1,0)</f>
        <v>0</v>
      </c>
      <c r="BC139" s="194">
        <f>IF($G139="Free Reg Certificate",1,0)</f>
        <v>0</v>
      </c>
      <c r="BD139" s="194">
        <f>IF($G139="Newcomer",1,0)</f>
        <v>0</v>
      </c>
      <c r="BE139" s="194">
        <f>IF($G139="Committee",1,0)</f>
        <v>0</v>
      </c>
      <c r="BF139" s="194">
        <f>IF($G139="Treatment",1,0)</f>
        <v>0</v>
      </c>
      <c r="BG139" s="194">
        <f>IF($G139="Meeting Sponsored",1,0)</f>
        <v>0</v>
      </c>
      <c r="BH139" s="194">
        <f>IF($G139="Programming",1,0)</f>
        <v>0</v>
      </c>
      <c r="BI139" s="194">
        <f>IF($G139="Hardship",1,0)</f>
        <v>0</v>
      </c>
      <c r="BJ139" s="194">
        <f>IF($G139="Refund",1,0)</f>
        <v>0</v>
      </c>
      <c r="BK139" s="194">
        <f>IF($G139="Vermilion Bucks",1,0)</f>
        <v>0</v>
      </c>
      <c r="BL139" s="194">
        <f>IF($G139="Other",1,0)</f>
        <v>0</v>
      </c>
      <c r="BM139" s="286"/>
      <c r="BN139" s="286"/>
      <c r="BO139" s="286">
        <f>SUM(AX139:BL139)</f>
        <v>1</v>
      </c>
      <c r="BP139" s="287">
        <f>SUM(R139:AW139)</f>
        <v>1</v>
      </c>
      <c r="BQ139" s="287">
        <f>+BO139+BP139</f>
        <v>2</v>
      </c>
    </row>
    <row r="140" spans="1:85" s="7" customFormat="1" ht="10.199999999999999" customHeight="1" x14ac:dyDescent="0.2">
      <c r="A140" s="294" t="s">
        <v>320</v>
      </c>
      <c r="B140" s="177"/>
      <c r="C140" s="5">
        <v>207</v>
      </c>
      <c r="D140" s="6"/>
      <c r="E140" s="284">
        <f>IF($D140 = 0,0,DATEDIF($D140,$D$7,"D"))</f>
        <v>0</v>
      </c>
      <c r="F140" s="193">
        <f>((R140*$R$2)+(S140*$S$2)+(T140*$T$2)++(U140*$U$2)++(V140*$V$2)++(W140*$W$2)++(X140*$X$2)++(Y140*$Y$2)+(Z140*$Z$2)+(AA140*$AA$2)+(AB140*$AB$2)+(AC140*$AC$2)+(AD140*$AD$2)+(AE140*$AE$2)+(AF140*$AF$2)+(AG140*$AG$2)+(AH140*$AH$2)+(AI140*$AI$2)+(AJ140*$AJ$2)+(AK140*$AK$2)+(AL140*$AL$2)+(AM140*$AM$2)+(AN140*$AN$2)+(AO140*$AO$2)+(AP140*$AP$2)+(AQ140*$AQ$2)+(AR140*$AR$2)+(AS140*$AS$2)+(AT140*$AT$2)+(AU140*$AU$2)+(AV140*$AV$2)+(AW140*$AW$2))</f>
        <v>125</v>
      </c>
      <c r="G140" s="8" t="s">
        <v>172</v>
      </c>
      <c r="H140" s="9">
        <v>65</v>
      </c>
      <c r="I140" s="9"/>
      <c r="J140" s="9"/>
      <c r="K140" s="93">
        <f>+F140-I140+J140-H140</f>
        <v>60</v>
      </c>
      <c r="L140" s="64">
        <v>60</v>
      </c>
      <c r="M140" s="275">
        <f>+K140-L140</f>
        <v>0</v>
      </c>
      <c r="N140" s="275"/>
      <c r="O140" s="275"/>
      <c r="P140" s="253"/>
      <c r="Q140" s="293"/>
      <c r="R140" s="5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>
        <v>1</v>
      </c>
      <c r="AQ140" s="8"/>
      <c r="AR140" s="8"/>
      <c r="AS140" s="8"/>
      <c r="AT140" s="8"/>
      <c r="AU140" s="8"/>
      <c r="AV140" s="8"/>
      <c r="AW140" s="8"/>
      <c r="AX140" s="194">
        <f>IF($G140="Youth 0-3",1,0)</f>
        <v>0</v>
      </c>
      <c r="AY140" s="194">
        <f>IF($G140="Youth 4-11",1,0)</f>
        <v>0</v>
      </c>
      <c r="AZ140" s="194">
        <f>IF($G140="Youth 12-15",1,0)</f>
        <v>0</v>
      </c>
      <c r="BA140" s="194">
        <f>IF($G140="Addict",1,0)</f>
        <v>0</v>
      </c>
      <c r="BB140" s="194">
        <f>IF($G140="Non-Addict",1,0)</f>
        <v>0</v>
      </c>
      <c r="BC140" s="194">
        <f>IF($G140="Free Reg Certificate",1,0)</f>
        <v>0</v>
      </c>
      <c r="BD140" s="194">
        <f>IF($G140="Newcomer",1,0)</f>
        <v>0</v>
      </c>
      <c r="BE140" s="194">
        <f>IF($G140="Committee",1,0)</f>
        <v>0</v>
      </c>
      <c r="BF140" s="194">
        <f>IF($G140="Treatment",1,0)</f>
        <v>1</v>
      </c>
      <c r="BG140" s="194">
        <f>IF($G140="Meeting Sponsored",1,0)</f>
        <v>0</v>
      </c>
      <c r="BH140" s="194">
        <f>IF($G140="Programming",1,0)</f>
        <v>0</v>
      </c>
      <c r="BI140" s="194">
        <f>IF($G140="Hardship",1,0)</f>
        <v>0</v>
      </c>
      <c r="BJ140" s="194">
        <f>IF($G140="Refund",1,0)</f>
        <v>0</v>
      </c>
      <c r="BK140" s="194">
        <f>IF($G140="Vermilion Bucks",1,0)</f>
        <v>0</v>
      </c>
      <c r="BL140" s="194">
        <f>IF($G140="Other",1,0)</f>
        <v>0</v>
      </c>
      <c r="BM140" s="286"/>
      <c r="BN140" s="286"/>
      <c r="BO140" s="286">
        <f>SUM(AX140:BL140)</f>
        <v>1</v>
      </c>
      <c r="BP140" s="287">
        <f>SUM(R140:AW140)</f>
        <v>1</v>
      </c>
      <c r="BQ140" s="287">
        <f>+BO140+BP140</f>
        <v>2</v>
      </c>
    </row>
    <row r="141" spans="1:85" s="7" customFormat="1" x14ac:dyDescent="0.2">
      <c r="A141" s="294" t="s">
        <v>461</v>
      </c>
      <c r="B141" s="283" t="s">
        <v>462</v>
      </c>
      <c r="C141" s="5">
        <v>195</v>
      </c>
      <c r="D141" s="6">
        <v>43894</v>
      </c>
      <c r="E141" s="284">
        <f>IF($D141 = 0,0,DATEDIF($D141,$D$7,"D"))</f>
        <v>556</v>
      </c>
      <c r="F141" s="193">
        <f>((R141*$R$2)+(S141*$S$2)+(T141*$T$2)++(U141*$U$2)++(V141*$V$2)++(W141*$W$2)++(X141*$X$2)++(Y141*$Y$2)+(Z141*$Z$2)+(AA141*$AA$2)+(AB141*$AB$2)+(AC141*$AC$2)+(AD141*$AD$2)+(AE141*$AE$2)+(AF141*$AF$2)+(AG141*$AG$2)+(AH141*$AH$2)+(AI141*$AI$2)+(AJ141*$AJ$2)+(AK141*$AK$2)+(AL141*$AL$2)+(AM141*$AM$2)+(AN141*$AN$2)+(AO141*$AO$2)+(AP141*$AP$2)+(AQ141*$AQ$2)+(AR141*$AR$2)+(AS141*$AS$2)+(AT141*$AT$2)+(AU141*$AU$2)+(AV141*$AV$2)+(AW141*$AW$2))</f>
        <v>125</v>
      </c>
      <c r="G141" s="8" t="s">
        <v>38</v>
      </c>
      <c r="H141" s="9"/>
      <c r="I141" s="9"/>
      <c r="J141" s="9"/>
      <c r="K141" s="93">
        <f>+F141-I141+J141-H141</f>
        <v>125</v>
      </c>
      <c r="L141" s="64">
        <v>125</v>
      </c>
      <c r="M141" s="275">
        <f>+K141-L141</f>
        <v>0</v>
      </c>
      <c r="N141" s="275"/>
      <c r="O141" s="275"/>
      <c r="P141" s="253"/>
      <c r="Q141" s="293"/>
      <c r="R141" s="5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>
        <v>1</v>
      </c>
      <c r="AP141" s="8"/>
      <c r="AQ141" s="8"/>
      <c r="AR141" s="8"/>
      <c r="AS141" s="8"/>
      <c r="AT141" s="8"/>
      <c r="AU141" s="8"/>
      <c r="AV141" s="8"/>
      <c r="AW141" s="8"/>
      <c r="AX141" s="194">
        <f>IF($G141="Youth 0-3",1,0)</f>
        <v>0</v>
      </c>
      <c r="AY141" s="194">
        <f>IF($G141="Youth 4-11",1,0)</f>
        <v>0</v>
      </c>
      <c r="AZ141" s="194">
        <f>IF($G141="Youth 12-15",1,0)</f>
        <v>0</v>
      </c>
      <c r="BA141" s="194">
        <f>IF($G141="Addict",1,0)</f>
        <v>1</v>
      </c>
      <c r="BB141" s="194">
        <f>IF($G141="Non-Addict",1,0)</f>
        <v>0</v>
      </c>
      <c r="BC141" s="194">
        <f>IF($G141="Free Reg Certificate",1,0)</f>
        <v>0</v>
      </c>
      <c r="BD141" s="194">
        <f>IF($G141="Newcomer",1,0)</f>
        <v>0</v>
      </c>
      <c r="BE141" s="194">
        <f>IF($G141="Committee",1,0)</f>
        <v>0</v>
      </c>
      <c r="BF141" s="194">
        <f>IF($G141="Treatment",1,0)</f>
        <v>0</v>
      </c>
      <c r="BG141" s="194">
        <f>IF($G141="Meeting Sponsored",1,0)</f>
        <v>0</v>
      </c>
      <c r="BH141" s="194">
        <f>IF($G141="Programming",1,0)</f>
        <v>0</v>
      </c>
      <c r="BI141" s="194">
        <f>IF($G141="Hardship",1,0)</f>
        <v>0</v>
      </c>
      <c r="BJ141" s="194">
        <f>IF($G141="Refund",1,0)</f>
        <v>0</v>
      </c>
      <c r="BK141" s="194">
        <f>IF($G141="Vermilion Bucks",1,0)</f>
        <v>0</v>
      </c>
      <c r="BL141" s="194">
        <f>IF($G141="Other",1,0)</f>
        <v>0</v>
      </c>
      <c r="BM141" s="286"/>
      <c r="BN141" s="286"/>
      <c r="BO141" s="286">
        <f>SUM(AX141:BL141)</f>
        <v>1</v>
      </c>
      <c r="BP141" s="287">
        <f>SUM(R141:AW141)</f>
        <v>1</v>
      </c>
      <c r="BQ141" s="287">
        <f>+BO141+BP141</f>
        <v>2</v>
      </c>
    </row>
    <row r="142" spans="1:85" s="7" customFormat="1" ht="10.199999999999999" customHeight="1" x14ac:dyDescent="0.2">
      <c r="A142" s="294" t="s">
        <v>442</v>
      </c>
      <c r="B142" s="283" t="s">
        <v>446</v>
      </c>
      <c r="C142" s="5">
        <v>74</v>
      </c>
      <c r="D142" s="6">
        <v>39662</v>
      </c>
      <c r="E142" s="284">
        <f>IF($D142 = 0,0,DATEDIF($D142,$D$7,"D"))</f>
        <v>4788</v>
      </c>
      <c r="F142" s="193">
        <f>((R142*$R$2)+(S142*$S$2)+(T142*$T$2)++(U142*$U$2)++(V142*$V$2)++(W142*$W$2)++(X142*$X$2)++(Y142*$Y$2)+(Z142*$Z$2)+(AA142*$AA$2)+(AB142*$AB$2)+(AC142*$AC$2)+(AD142*$AD$2)+(AE142*$AE$2)+(AF142*$AF$2)+(AG142*$AG$2)+(AH142*$AH$2)+(AI142*$AI$2)+(AJ142*$AJ$2)+(AK142*$AK$2)+(AL142*$AL$2)+(AM142*$AM$2)+(AN142*$AN$2)+(AO142*$AO$2)+(AP142*$AP$2)+(AQ142*$AQ$2)+(AR142*$AR$2)+(AS142*$AS$2)+(AT142*$AT$2)+(AU142*$AU$2)+(AV142*$AV$2)+(AW142*$AW$2))</f>
        <v>100</v>
      </c>
      <c r="G142" s="8" t="s">
        <v>538</v>
      </c>
      <c r="H142" s="9">
        <v>50</v>
      </c>
      <c r="I142" s="9"/>
      <c r="J142" s="9"/>
      <c r="K142" s="93">
        <f>+F142-I142+J142-H142</f>
        <v>50</v>
      </c>
      <c r="L142" s="64">
        <v>50</v>
      </c>
      <c r="M142" s="275">
        <f>+K142-L142</f>
        <v>0</v>
      </c>
      <c r="N142" s="275"/>
      <c r="O142" s="275"/>
      <c r="P142" s="253"/>
      <c r="Q142" s="293"/>
      <c r="R142" s="5"/>
      <c r="S142" s="8">
        <v>1</v>
      </c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194">
        <f>IF($G142="Youth 0-3",1,0)</f>
        <v>0</v>
      </c>
      <c r="AY142" s="194">
        <f>IF($G142="Youth 4-11",1,0)</f>
        <v>0</v>
      </c>
      <c r="AZ142" s="194">
        <f>IF($G142="Youth 12-15",1,0)</f>
        <v>0</v>
      </c>
      <c r="BA142" s="194">
        <f>IF($G142="Addict",1,0)</f>
        <v>0</v>
      </c>
      <c r="BB142" s="194">
        <f>IF($G142="Non-Addict",1,0)</f>
        <v>0</v>
      </c>
      <c r="BC142" s="194">
        <f>IF($G142="Free Reg Certificate",1,0)</f>
        <v>0</v>
      </c>
      <c r="BD142" s="194">
        <f>IF($G142="Newcomer",1,0)</f>
        <v>0</v>
      </c>
      <c r="BE142" s="194">
        <f>IF($G142="Committee",1,0)</f>
        <v>0</v>
      </c>
      <c r="BF142" s="194">
        <f>IF($G142="Treatment",1,0)</f>
        <v>0</v>
      </c>
      <c r="BG142" s="194">
        <f>IF($G142="Meeting Sponsored",1,0)</f>
        <v>0</v>
      </c>
      <c r="BH142" s="194">
        <f>IF($G142="Programming",1,0)</f>
        <v>0</v>
      </c>
      <c r="BI142" s="194">
        <f>IF($G142="Hardship",1,0)</f>
        <v>0</v>
      </c>
      <c r="BJ142" s="194">
        <f>IF($G142="Refund",1,0)</f>
        <v>0</v>
      </c>
      <c r="BK142" s="194">
        <f>IF($G142="Vermilion Bucks",1,0)</f>
        <v>1</v>
      </c>
      <c r="BL142" s="194">
        <f>IF($G142="Other",1,0)</f>
        <v>0</v>
      </c>
      <c r="BM142" s="286"/>
      <c r="BN142" s="286"/>
      <c r="BO142" s="286">
        <f>SUM(AX142:BL142)</f>
        <v>1</v>
      </c>
      <c r="BP142" s="287">
        <f>SUM(R142:AW142)</f>
        <v>1</v>
      </c>
      <c r="BQ142" s="287">
        <f>+BO142+BP142</f>
        <v>2</v>
      </c>
    </row>
    <row r="143" spans="1:85" s="7" customFormat="1" x14ac:dyDescent="0.2">
      <c r="A143" s="294" t="s">
        <v>374</v>
      </c>
      <c r="B143" s="177"/>
      <c r="C143" s="5">
        <v>178</v>
      </c>
      <c r="D143" s="6">
        <v>43940</v>
      </c>
      <c r="E143" s="284">
        <f>IF($D143 = 0,0,DATEDIF($D143,$D$7,"D"))</f>
        <v>510</v>
      </c>
      <c r="F143" s="193">
        <f>((R143*$R$2)+(S143*$S$2)+(T143*$T$2)++(U143*$U$2)++(V143*$V$2)++(W143*$W$2)++(X143*$X$2)++(Y143*$Y$2)+(Z143*$Z$2)+(AA143*$AA$2)+(AB143*$AB$2)+(AC143*$AC$2)+(AD143*$AD$2)+(AE143*$AE$2)+(AF143*$AF$2)+(AG143*$AG$2)+(AH143*$AH$2)+(AI143*$AI$2)+(AJ143*$AJ$2)+(AK143*$AK$2)+(AL143*$AL$2)+(AM143*$AM$2)+(AN143*$AN$2)+(AO143*$AO$2)+(AP143*$AP$2)+(AQ143*$AQ$2)+(AR143*$AR$2)+(AS143*$AS$2)+(AT143*$AT$2)+(AU143*$AU$2)+(AV143*$AV$2)+(AW143*$AW$2))</f>
        <v>100</v>
      </c>
      <c r="G143" s="8" t="s">
        <v>38</v>
      </c>
      <c r="H143" s="9"/>
      <c r="I143" s="9"/>
      <c r="J143" s="9"/>
      <c r="K143" s="93">
        <f>+F143-I143+J143-H143</f>
        <v>100</v>
      </c>
      <c r="L143" s="64">
        <v>100</v>
      </c>
      <c r="M143" s="275">
        <f>+K143-L143</f>
        <v>0</v>
      </c>
      <c r="N143" s="275"/>
      <c r="O143" s="275"/>
      <c r="P143" s="253"/>
      <c r="Q143" s="293"/>
      <c r="R143" s="5"/>
      <c r="S143" s="8">
        <v>1</v>
      </c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194">
        <f>IF($G143="Youth 0-3",1,0)</f>
        <v>0</v>
      </c>
      <c r="AY143" s="194">
        <f>IF($G143="Youth 4-11",1,0)</f>
        <v>0</v>
      </c>
      <c r="AZ143" s="194">
        <f>IF($G143="Youth 12-15",1,0)</f>
        <v>0</v>
      </c>
      <c r="BA143" s="194">
        <f>IF($G143="Addict",1,0)</f>
        <v>1</v>
      </c>
      <c r="BB143" s="194">
        <f>IF($G143="Non-Addict",1,0)</f>
        <v>0</v>
      </c>
      <c r="BC143" s="194">
        <f>IF($G143="Free Reg Certificate",1,0)</f>
        <v>0</v>
      </c>
      <c r="BD143" s="194">
        <f>IF($G143="Newcomer",1,0)</f>
        <v>0</v>
      </c>
      <c r="BE143" s="194">
        <f>IF($G143="Committee",1,0)</f>
        <v>0</v>
      </c>
      <c r="BF143" s="194">
        <f>IF($G143="Treatment",1,0)</f>
        <v>0</v>
      </c>
      <c r="BG143" s="194">
        <f>IF($G143="Meeting Sponsored",1,0)</f>
        <v>0</v>
      </c>
      <c r="BH143" s="194">
        <f>IF($G143="Programming",1,0)</f>
        <v>0</v>
      </c>
      <c r="BI143" s="194">
        <f>IF($G143="Hardship",1,0)</f>
        <v>0</v>
      </c>
      <c r="BJ143" s="194">
        <f>IF($G143="Refund",1,0)</f>
        <v>0</v>
      </c>
      <c r="BK143" s="194">
        <f>IF($G143="Vermilion Bucks",1,0)</f>
        <v>0</v>
      </c>
      <c r="BL143" s="194">
        <f>IF($G143="Other",1,0)</f>
        <v>0</v>
      </c>
      <c r="BM143" s="286"/>
      <c r="BN143" s="286"/>
      <c r="BO143" s="286">
        <f>SUM(AX143:BL143)</f>
        <v>1</v>
      </c>
      <c r="BP143" s="287">
        <f>SUM(R143:AW143)</f>
        <v>1</v>
      </c>
      <c r="BQ143" s="287">
        <f>+BO143+BP143</f>
        <v>2</v>
      </c>
    </row>
    <row r="144" spans="1:85" s="11" customFormat="1" ht="10.199999999999999" customHeight="1" x14ac:dyDescent="0.2">
      <c r="A144" s="294" t="s">
        <v>480</v>
      </c>
      <c r="B144" s="283" t="s">
        <v>481</v>
      </c>
      <c r="C144" s="5">
        <v>250</v>
      </c>
      <c r="D144" s="6">
        <v>30635</v>
      </c>
      <c r="E144" s="284">
        <f>IF($D144 = 0,0,DATEDIF($D144,$D$7,"D"))</f>
        <v>13815</v>
      </c>
      <c r="F144" s="193">
        <f>((R144*$R$2)+(S144*$S$2)+(T144*$T$2)++(U144*$U$2)++(V144*$V$2)++(W144*$W$2)++(X144*$X$2)++(Y144*$Y$2)+(Z144*$Z$2)+(AA144*$AA$2)+(AB144*$AB$2)+(AC144*$AC$2)+(AD144*$AD$2)+(AE144*$AE$2)+(AF144*$AF$2)+(AG144*$AG$2)+(AH144*$AH$2)+(AI144*$AI$2)+(AJ144*$AJ$2)+(AK144*$AK$2)+(AL144*$AL$2)+(AM144*$AM$2)+(AN144*$AN$2)+(AO144*$AO$2)+(AP144*$AP$2)+(AQ144*$AQ$2)+(AR144*$AR$2)+(AS144*$AS$2)+(AT144*$AT$2)+(AU144*$AU$2)+(AV144*$AV$2)+(AW144*$AW$2))</f>
        <v>125</v>
      </c>
      <c r="G144" s="8" t="s">
        <v>38</v>
      </c>
      <c r="H144" s="9"/>
      <c r="I144" s="9"/>
      <c r="J144" s="9"/>
      <c r="K144" s="93">
        <f>+F144-I144+J144-H144</f>
        <v>125</v>
      </c>
      <c r="L144" s="64">
        <v>125</v>
      </c>
      <c r="M144" s="275">
        <f>+K144-L144</f>
        <v>0</v>
      </c>
      <c r="N144" s="275"/>
      <c r="O144" s="275"/>
      <c r="P144" s="253"/>
      <c r="Q144" s="293"/>
      <c r="R144" s="5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>
        <v>1</v>
      </c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194">
        <f>IF($G144="Youth 0-3",1,0)</f>
        <v>0</v>
      </c>
      <c r="AY144" s="194">
        <f>IF($G144="Youth 4-11",1,0)</f>
        <v>0</v>
      </c>
      <c r="AZ144" s="194">
        <f>IF($G144="Youth 12-15",1,0)</f>
        <v>0</v>
      </c>
      <c r="BA144" s="194">
        <f>IF($G144="Addict",1,0)</f>
        <v>1</v>
      </c>
      <c r="BB144" s="194">
        <f>IF($G144="Non-Addict",1,0)</f>
        <v>0</v>
      </c>
      <c r="BC144" s="194">
        <f>IF($G144="Free Reg Certificate",1,0)</f>
        <v>0</v>
      </c>
      <c r="BD144" s="194">
        <f>IF($G144="Newcomer",1,0)</f>
        <v>0</v>
      </c>
      <c r="BE144" s="194">
        <f>IF($G144="Committee",1,0)</f>
        <v>0</v>
      </c>
      <c r="BF144" s="194">
        <f>IF($G144="Treatment",1,0)</f>
        <v>0</v>
      </c>
      <c r="BG144" s="194">
        <f>IF($G144="Meeting Sponsored",1,0)</f>
        <v>0</v>
      </c>
      <c r="BH144" s="194">
        <f>IF($G144="Programming",1,0)</f>
        <v>0</v>
      </c>
      <c r="BI144" s="194">
        <f>IF($G144="Hardship",1,0)</f>
        <v>0</v>
      </c>
      <c r="BJ144" s="194">
        <f>IF($G144="Refund",1,0)</f>
        <v>0</v>
      </c>
      <c r="BK144" s="194">
        <f>IF($G144="Vermilion Bucks",1,0)</f>
        <v>0</v>
      </c>
      <c r="BL144" s="194">
        <f>IF($G144="Other",1,0)</f>
        <v>0</v>
      </c>
      <c r="BM144" s="286"/>
      <c r="BN144" s="286"/>
      <c r="BO144" s="286">
        <f>SUM(AX144:BL144)</f>
        <v>1</v>
      </c>
      <c r="BP144" s="287">
        <f>SUM(R144:AW144)</f>
        <v>1</v>
      </c>
      <c r="BQ144" s="287">
        <f>+BO144+BP144</f>
        <v>2</v>
      </c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</row>
    <row r="145" spans="1:85" s="7" customFormat="1" ht="10.199999999999999" customHeight="1" x14ac:dyDescent="0.2">
      <c r="A145" s="294" t="s">
        <v>317</v>
      </c>
      <c r="B145" s="177"/>
      <c r="C145" s="5">
        <v>207</v>
      </c>
      <c r="D145" s="6">
        <v>44404</v>
      </c>
      <c r="E145" s="284">
        <f>IF($D145 = 0,0,DATEDIF($D145,$D$7,"D"))</f>
        <v>46</v>
      </c>
      <c r="F145" s="193">
        <f>((R145*$R$2)+(S145*$S$2)+(T145*$T$2)++(U145*$U$2)++(V145*$V$2)++(W145*$W$2)++(X145*$X$2)++(Y145*$Y$2)+(Z145*$Z$2)+(AA145*$AA$2)+(AB145*$AB$2)+(AC145*$AC$2)+(AD145*$AD$2)+(AE145*$AE$2)+(AF145*$AF$2)+(AG145*$AG$2)+(AH145*$AH$2)+(AI145*$AI$2)+(AJ145*$AJ$2)+(AK145*$AK$2)+(AL145*$AL$2)+(AM145*$AM$2)+(AN145*$AN$2)+(AO145*$AO$2)+(AP145*$AP$2)+(AQ145*$AQ$2)+(AR145*$AR$2)+(AS145*$AS$2)+(AT145*$AT$2)+(AU145*$AU$2)+(AV145*$AV$2)+(AW145*$AW$2))</f>
        <v>125</v>
      </c>
      <c r="G145" s="8" t="s">
        <v>172</v>
      </c>
      <c r="H145" s="9">
        <v>65</v>
      </c>
      <c r="I145" s="9"/>
      <c r="J145" s="9"/>
      <c r="K145" s="93">
        <f>+F145-I145+J145-H145</f>
        <v>60</v>
      </c>
      <c r="L145" s="64">
        <v>60</v>
      </c>
      <c r="M145" s="275">
        <f>+K145-L145</f>
        <v>0</v>
      </c>
      <c r="N145" s="275"/>
      <c r="O145" s="275"/>
      <c r="P145" s="253"/>
      <c r="Q145" s="293"/>
      <c r="R145" s="5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>
        <v>1</v>
      </c>
      <c r="AQ145" s="8"/>
      <c r="AR145" s="8"/>
      <c r="AS145" s="8"/>
      <c r="AT145" s="8"/>
      <c r="AU145" s="8"/>
      <c r="AV145" s="8"/>
      <c r="AW145" s="8"/>
      <c r="AX145" s="194">
        <f>IF($G145="Youth 0-3",1,0)</f>
        <v>0</v>
      </c>
      <c r="AY145" s="194">
        <f>IF($G145="Youth 4-11",1,0)</f>
        <v>0</v>
      </c>
      <c r="AZ145" s="194">
        <f>IF($G145="Youth 12-15",1,0)</f>
        <v>0</v>
      </c>
      <c r="BA145" s="194">
        <f>IF($G145="Addict",1,0)</f>
        <v>0</v>
      </c>
      <c r="BB145" s="194">
        <f>IF($G145="Non-Addict",1,0)</f>
        <v>0</v>
      </c>
      <c r="BC145" s="194">
        <f>IF($G145="Free Reg Certificate",1,0)</f>
        <v>0</v>
      </c>
      <c r="BD145" s="194">
        <f>IF($G145="Newcomer",1,0)</f>
        <v>0</v>
      </c>
      <c r="BE145" s="194">
        <f>IF($G145="Committee",1,0)</f>
        <v>0</v>
      </c>
      <c r="BF145" s="194">
        <f>IF($G145="Treatment",1,0)</f>
        <v>1</v>
      </c>
      <c r="BG145" s="194">
        <f>IF($G145="Meeting Sponsored",1,0)</f>
        <v>0</v>
      </c>
      <c r="BH145" s="194">
        <f>IF($G145="Programming",1,0)</f>
        <v>0</v>
      </c>
      <c r="BI145" s="194">
        <f>IF($G145="Hardship",1,0)</f>
        <v>0</v>
      </c>
      <c r="BJ145" s="194">
        <f>IF($G145="Refund",1,0)</f>
        <v>0</v>
      </c>
      <c r="BK145" s="194">
        <f>IF($G145="Vermilion Bucks",1,0)</f>
        <v>0</v>
      </c>
      <c r="BL145" s="194">
        <f>IF($G145="Other",1,0)</f>
        <v>0</v>
      </c>
      <c r="BM145" s="286"/>
      <c r="BN145" s="286"/>
      <c r="BO145" s="286">
        <f>SUM(AX145:BL145)</f>
        <v>1</v>
      </c>
      <c r="BP145" s="287">
        <f>SUM(R145:AW145)</f>
        <v>1</v>
      </c>
      <c r="BQ145" s="287">
        <f>+BO145+BP145</f>
        <v>2</v>
      </c>
    </row>
    <row r="146" spans="1:85" s="7" customFormat="1" ht="10.8" customHeight="1" x14ac:dyDescent="0.2">
      <c r="A146" s="294" t="s">
        <v>413</v>
      </c>
      <c r="B146" s="177"/>
      <c r="C146" s="5">
        <v>196</v>
      </c>
      <c r="D146" s="6">
        <v>36277</v>
      </c>
      <c r="E146" s="284">
        <f>IF($D146 = 0,0,DATEDIF($D146,$D$7,"D"))</f>
        <v>8173</v>
      </c>
      <c r="F146" s="193">
        <f>((R146*$R$2)+(S146*$S$2)+(T146*$T$2)++(U146*$U$2)++(V146*$V$2)++(W146*$W$2)++(X146*$X$2)++(Y146*$Y$2)+(Z146*$Z$2)+(AA146*$AA$2)+(AB146*$AB$2)+(AC146*$AC$2)+(AD146*$AD$2)+(AE146*$AE$2)+(AF146*$AF$2)+(AG146*$AG$2)+(AH146*$AH$2)+(AI146*$AI$2)+(AJ146*$AJ$2)+(AK146*$AK$2)+(AL146*$AL$2)+(AM146*$AM$2)+(AN146*$AN$2)+(AO146*$AO$2)+(AP146*$AP$2)+(AQ146*$AQ$2)+(AR146*$AR$2)+(AS146*$AS$2)+(AT146*$AT$2)+(AU146*$AU$2)+(AV146*$AV$2)+(AW146*$AW$2))</f>
        <v>125</v>
      </c>
      <c r="G146" s="8" t="s">
        <v>38</v>
      </c>
      <c r="H146" s="9"/>
      <c r="I146" s="9"/>
      <c r="J146" s="9"/>
      <c r="K146" s="93">
        <f>+F146-I146+J146-H146</f>
        <v>125</v>
      </c>
      <c r="L146" s="64">
        <v>125</v>
      </c>
      <c r="M146" s="275">
        <f>+K146-L146</f>
        <v>0</v>
      </c>
      <c r="N146" s="275"/>
      <c r="O146" s="275"/>
      <c r="P146" s="253"/>
      <c r="Q146" s="293"/>
      <c r="R146" s="5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>
        <v>1</v>
      </c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194">
        <f>IF($G146="Youth 0-3",1,0)</f>
        <v>0</v>
      </c>
      <c r="AY146" s="194">
        <f>IF($G146="Youth 4-11",1,0)</f>
        <v>0</v>
      </c>
      <c r="AZ146" s="194">
        <f>IF($G146="Youth 12-15",1,0)</f>
        <v>0</v>
      </c>
      <c r="BA146" s="194">
        <f>IF($G146="Addict",1,0)</f>
        <v>1</v>
      </c>
      <c r="BB146" s="194">
        <f>IF($G146="Non-Addict",1,0)</f>
        <v>0</v>
      </c>
      <c r="BC146" s="194">
        <f>IF($G146="Free Reg Certificate",1,0)</f>
        <v>0</v>
      </c>
      <c r="BD146" s="194">
        <f>IF($G146="Newcomer",1,0)</f>
        <v>0</v>
      </c>
      <c r="BE146" s="194">
        <f>IF($G146="Committee",1,0)</f>
        <v>0</v>
      </c>
      <c r="BF146" s="194">
        <f>IF($G146="Treatment",1,0)</f>
        <v>0</v>
      </c>
      <c r="BG146" s="194">
        <f>IF($G146="Meeting Sponsored",1,0)</f>
        <v>0</v>
      </c>
      <c r="BH146" s="194">
        <f>IF($G146="Programming",1,0)</f>
        <v>0</v>
      </c>
      <c r="BI146" s="194">
        <f>IF($G146="Hardship",1,0)</f>
        <v>0</v>
      </c>
      <c r="BJ146" s="194">
        <f>IF($G146="Refund",1,0)</f>
        <v>0</v>
      </c>
      <c r="BK146" s="194">
        <f>IF($G146="Vermilion Bucks",1,0)</f>
        <v>0</v>
      </c>
      <c r="BL146" s="194">
        <f>IF($G146="Other",1,0)</f>
        <v>0</v>
      </c>
      <c r="BM146" s="286"/>
      <c r="BN146" s="286"/>
      <c r="BO146" s="286">
        <f>SUM(AX146:BL146)</f>
        <v>1</v>
      </c>
      <c r="BP146" s="287">
        <f>SUM(R146:AW146)</f>
        <v>1</v>
      </c>
      <c r="BQ146" s="287">
        <f>+BO146+BP146</f>
        <v>2</v>
      </c>
    </row>
    <row r="147" spans="1:85" s="7" customFormat="1" ht="10.199999999999999" customHeight="1" x14ac:dyDescent="0.2">
      <c r="A147" s="294" t="s">
        <v>318</v>
      </c>
      <c r="B147" s="177"/>
      <c r="C147" s="5">
        <v>207</v>
      </c>
      <c r="D147" s="6">
        <v>44387</v>
      </c>
      <c r="E147" s="284">
        <f>IF($D147 = 0,0,DATEDIF($D147,$D$7,"D"))</f>
        <v>63</v>
      </c>
      <c r="F147" s="193">
        <f>((R147*$R$2)+(S147*$S$2)+(T147*$T$2)++(U147*$U$2)++(V147*$V$2)++(W147*$W$2)++(X147*$X$2)++(Y147*$Y$2)+(Z147*$Z$2)+(AA147*$AA$2)+(AB147*$AB$2)+(AC147*$AC$2)+(AD147*$AD$2)+(AE147*$AE$2)+(AF147*$AF$2)+(AG147*$AG$2)+(AH147*$AH$2)+(AI147*$AI$2)+(AJ147*$AJ$2)+(AK147*$AK$2)+(AL147*$AL$2)+(AM147*$AM$2)+(AN147*$AN$2)+(AO147*$AO$2)+(AP147*$AP$2)+(AQ147*$AQ$2)+(AR147*$AR$2)+(AS147*$AS$2)+(AT147*$AT$2)+(AU147*$AU$2)+(AV147*$AV$2)+(AW147*$AW$2))</f>
        <v>125</v>
      </c>
      <c r="G147" s="8" t="s">
        <v>172</v>
      </c>
      <c r="H147" s="9">
        <v>65</v>
      </c>
      <c r="I147" s="9"/>
      <c r="J147" s="9"/>
      <c r="K147" s="93">
        <f>+F147-I147+J147-H147</f>
        <v>60</v>
      </c>
      <c r="L147" s="64">
        <v>60</v>
      </c>
      <c r="M147" s="275">
        <f>+K147-L147</f>
        <v>0</v>
      </c>
      <c r="N147" s="275"/>
      <c r="O147" s="275"/>
      <c r="P147" s="253"/>
      <c r="Q147" s="293"/>
      <c r="R147" s="5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>
        <v>1</v>
      </c>
      <c r="AQ147" s="8"/>
      <c r="AR147" s="8"/>
      <c r="AS147" s="8"/>
      <c r="AT147" s="8"/>
      <c r="AU147" s="8"/>
      <c r="AV147" s="8"/>
      <c r="AW147" s="8"/>
      <c r="AX147" s="194">
        <f>IF($G147="Youth 0-3",1,0)</f>
        <v>0</v>
      </c>
      <c r="AY147" s="194">
        <f>IF($G147="Youth 4-11",1,0)</f>
        <v>0</v>
      </c>
      <c r="AZ147" s="194">
        <f>IF($G147="Youth 12-15",1,0)</f>
        <v>0</v>
      </c>
      <c r="BA147" s="194">
        <f>IF($G147="Addict",1,0)</f>
        <v>0</v>
      </c>
      <c r="BB147" s="194">
        <f>IF($G147="Non-Addict",1,0)</f>
        <v>0</v>
      </c>
      <c r="BC147" s="194">
        <f>IF($G147="Free Reg Certificate",1,0)</f>
        <v>0</v>
      </c>
      <c r="BD147" s="194">
        <f>IF($G147="Newcomer",1,0)</f>
        <v>0</v>
      </c>
      <c r="BE147" s="194">
        <f>IF($G147="Committee",1,0)</f>
        <v>0</v>
      </c>
      <c r="BF147" s="194">
        <f>IF($G147="Treatment",1,0)</f>
        <v>1</v>
      </c>
      <c r="BG147" s="194">
        <f>IF($G147="Meeting Sponsored",1,0)</f>
        <v>0</v>
      </c>
      <c r="BH147" s="194">
        <f>IF($G147="Programming",1,0)</f>
        <v>0</v>
      </c>
      <c r="BI147" s="194">
        <f>IF($G147="Hardship",1,0)</f>
        <v>0</v>
      </c>
      <c r="BJ147" s="194">
        <f>IF($G147="Refund",1,0)</f>
        <v>0</v>
      </c>
      <c r="BK147" s="194">
        <f>IF($G147="Vermilion Bucks",1,0)</f>
        <v>0</v>
      </c>
      <c r="BL147" s="194">
        <f>IF($G147="Other",1,0)</f>
        <v>0</v>
      </c>
      <c r="BM147" s="286"/>
      <c r="BN147" s="286"/>
      <c r="BO147" s="286">
        <f>SUM(AX147:BL147)</f>
        <v>1</v>
      </c>
      <c r="BP147" s="287">
        <f>SUM(R147:AW147)</f>
        <v>1</v>
      </c>
      <c r="BQ147" s="287">
        <f>+BO147+BP147</f>
        <v>2</v>
      </c>
    </row>
    <row r="148" spans="1:85" s="7" customFormat="1" ht="10.8" customHeight="1" x14ac:dyDescent="0.2">
      <c r="A148" s="294" t="s">
        <v>399</v>
      </c>
      <c r="B148" s="283" t="s">
        <v>412</v>
      </c>
      <c r="C148" s="5">
        <v>230</v>
      </c>
      <c r="D148" s="6">
        <v>44382</v>
      </c>
      <c r="E148" s="284">
        <f>IF($D148 = 0,0,DATEDIF($D148,$D$7,"D"))</f>
        <v>68</v>
      </c>
      <c r="F148" s="193">
        <f>((R148*$R$2)+(S148*$S$2)+(T148*$T$2)++(U148*$U$2)++(V148*$V$2)++(W148*$W$2)++(X148*$X$2)++(Y148*$Y$2)+(Z148*$Z$2)+(AA148*$AA$2)+(AB148*$AB$2)+(AC148*$AC$2)+(AD148*$AD$2)+(AE148*$AE$2)+(AF148*$AF$2)+(AG148*$AG$2)+(AH148*$AH$2)+(AI148*$AI$2)+(AJ148*$AJ$2)+(AK148*$AK$2)+(AL148*$AL$2)+(AM148*$AM$2)+(AN148*$AN$2)+(AO148*$AO$2)+(AP148*$AP$2)+(AQ148*$AQ$2)+(AR148*$AR$2)+(AS148*$AS$2)+(AT148*$AT$2)+(AU148*$AU$2)+(AV148*$AV$2)+(AW148*$AW$2))</f>
        <v>100</v>
      </c>
      <c r="G148" s="8" t="s">
        <v>27</v>
      </c>
      <c r="H148" s="9">
        <v>50</v>
      </c>
      <c r="I148" s="9"/>
      <c r="J148" s="9"/>
      <c r="K148" s="93">
        <f>+F148-I148+J148-H148</f>
        <v>50</v>
      </c>
      <c r="L148" s="64">
        <v>50</v>
      </c>
      <c r="M148" s="275">
        <f>+K148-L148</f>
        <v>0</v>
      </c>
      <c r="N148" s="275"/>
      <c r="O148" s="275"/>
      <c r="P148" s="253"/>
      <c r="Q148" s="293"/>
      <c r="R148" s="5"/>
      <c r="S148" s="8">
        <v>1</v>
      </c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194">
        <f>IF($G148="Youth 0-3",1,0)</f>
        <v>0</v>
      </c>
      <c r="AY148" s="194">
        <f>IF($G148="Youth 4-11",1,0)</f>
        <v>0</v>
      </c>
      <c r="AZ148" s="194">
        <f>IF($G148="Youth 12-15",1,0)</f>
        <v>0</v>
      </c>
      <c r="BA148" s="194">
        <f>IF($G148="Addict",1,0)</f>
        <v>0</v>
      </c>
      <c r="BB148" s="194">
        <f>IF($G148="Non-Addict",1,0)</f>
        <v>0</v>
      </c>
      <c r="BC148" s="194">
        <f>IF($G148="Free Reg Certificate",1,0)</f>
        <v>0</v>
      </c>
      <c r="BD148" s="194">
        <f>IF($G148="Newcomer",1,0)</f>
        <v>1</v>
      </c>
      <c r="BE148" s="194">
        <f>IF($G148="Committee",1,0)</f>
        <v>0</v>
      </c>
      <c r="BF148" s="194">
        <f>IF($G148="Treatment",1,0)</f>
        <v>0</v>
      </c>
      <c r="BG148" s="194">
        <f>IF($G148="Meeting Sponsored",1,0)</f>
        <v>0</v>
      </c>
      <c r="BH148" s="194">
        <f>IF($G148="Programming",1,0)</f>
        <v>0</v>
      </c>
      <c r="BI148" s="194">
        <f>IF($G148="Hardship",1,0)</f>
        <v>0</v>
      </c>
      <c r="BJ148" s="194">
        <f>IF($G148="Refund",1,0)</f>
        <v>0</v>
      </c>
      <c r="BK148" s="194">
        <f>IF($G148="Vermilion Bucks",1,0)</f>
        <v>0</v>
      </c>
      <c r="BL148" s="194">
        <f>IF($G148="Other",1,0)</f>
        <v>0</v>
      </c>
      <c r="BM148" s="286"/>
      <c r="BN148" s="286"/>
      <c r="BO148" s="286">
        <f>SUM(AX148:BL148)</f>
        <v>1</v>
      </c>
      <c r="BP148" s="287">
        <f>SUM(R148:AW148)</f>
        <v>1</v>
      </c>
      <c r="BQ148" s="287">
        <f>+BO148+BP148</f>
        <v>2</v>
      </c>
    </row>
    <row r="149" spans="1:85" s="7" customFormat="1" ht="10.199999999999999" customHeight="1" x14ac:dyDescent="0.2">
      <c r="A149" s="294" t="s">
        <v>376</v>
      </c>
      <c r="B149" s="177"/>
      <c r="C149" s="5">
        <v>208</v>
      </c>
      <c r="D149" s="6">
        <v>38123</v>
      </c>
      <c r="E149" s="284">
        <f>IF($D149 = 0,0,DATEDIF($D149,$D$7,"D"))</f>
        <v>6327</v>
      </c>
      <c r="F149" s="193">
        <f>((R149*$R$2)+(S149*$S$2)+(T149*$T$2)++(U149*$U$2)++(V149*$V$2)++(W149*$W$2)++(X149*$X$2)++(Y149*$Y$2)+(Z149*$Z$2)+(AA149*$AA$2)+(AB149*$AB$2)+(AC149*$AC$2)+(AD149*$AD$2)+(AE149*$AE$2)+(AF149*$AF$2)+(AG149*$AG$2)+(AH149*$AH$2)+(AI149*$AI$2)+(AJ149*$AJ$2)+(AK149*$AK$2)+(AL149*$AL$2)+(AM149*$AM$2)+(AN149*$AN$2)+(AO149*$AO$2)+(AP149*$AP$2)+(AQ149*$AQ$2)+(AR149*$AR$2)+(AS149*$AS$2)+(AT149*$AT$2)+(AU149*$AU$2)+(AV149*$AV$2)+(AW149*$AW$2))</f>
        <v>100</v>
      </c>
      <c r="G149" s="8" t="s">
        <v>38</v>
      </c>
      <c r="H149" s="9"/>
      <c r="I149" s="9"/>
      <c r="J149" s="9">
        <v>50</v>
      </c>
      <c r="K149" s="93">
        <f>+F149-I149+J149-H149</f>
        <v>150</v>
      </c>
      <c r="L149" s="64">
        <v>150</v>
      </c>
      <c r="M149" s="275">
        <f>+K149-L149</f>
        <v>0</v>
      </c>
      <c r="N149" s="275"/>
      <c r="O149" s="275"/>
      <c r="P149" s="253"/>
      <c r="Q149" s="293"/>
      <c r="R149" s="5"/>
      <c r="S149" s="8">
        <v>1</v>
      </c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194">
        <f>IF($G149="Youth 0-3",1,0)</f>
        <v>0</v>
      </c>
      <c r="AY149" s="194">
        <f>IF($G149="Youth 4-11",1,0)</f>
        <v>0</v>
      </c>
      <c r="AZ149" s="194">
        <f>IF($G149="Youth 12-15",1,0)</f>
        <v>0</v>
      </c>
      <c r="BA149" s="194">
        <f>IF($G149="Addict",1,0)</f>
        <v>1</v>
      </c>
      <c r="BB149" s="194">
        <f>IF($G149="Non-Addict",1,0)</f>
        <v>0</v>
      </c>
      <c r="BC149" s="194">
        <f>IF($G149="Free Reg Certificate",1,0)</f>
        <v>0</v>
      </c>
      <c r="BD149" s="194">
        <f>IF($G149="Newcomer",1,0)</f>
        <v>0</v>
      </c>
      <c r="BE149" s="194">
        <f>IF($G149="Committee",1,0)</f>
        <v>0</v>
      </c>
      <c r="BF149" s="194">
        <f>IF($G149="Treatment",1,0)</f>
        <v>0</v>
      </c>
      <c r="BG149" s="194">
        <f>IF($G149="Meeting Sponsored",1,0)</f>
        <v>0</v>
      </c>
      <c r="BH149" s="194">
        <f>IF($G149="Programming",1,0)</f>
        <v>0</v>
      </c>
      <c r="BI149" s="194">
        <f>IF($G149="Hardship",1,0)</f>
        <v>0</v>
      </c>
      <c r="BJ149" s="194">
        <f>IF($G149="Refund",1,0)</f>
        <v>0</v>
      </c>
      <c r="BK149" s="194">
        <f>IF($G149="Vermilion Bucks",1,0)</f>
        <v>0</v>
      </c>
      <c r="BL149" s="194">
        <f>IF($G149="Other",1,0)</f>
        <v>0</v>
      </c>
      <c r="BM149" s="286"/>
      <c r="BN149" s="286"/>
      <c r="BO149" s="286">
        <f>SUM(AX149:BL149)</f>
        <v>1</v>
      </c>
      <c r="BP149" s="287">
        <f>SUM(R149:AW149)</f>
        <v>1</v>
      </c>
      <c r="BQ149" s="287">
        <f>+BO149+BP149</f>
        <v>2</v>
      </c>
    </row>
    <row r="150" spans="1:85" s="7" customFormat="1" ht="10.199999999999999" customHeight="1" x14ac:dyDescent="0.2">
      <c r="A150" s="294" t="s">
        <v>279</v>
      </c>
      <c r="B150" s="283" t="s">
        <v>467</v>
      </c>
      <c r="C150" s="5">
        <v>230</v>
      </c>
      <c r="D150" s="6">
        <v>43780</v>
      </c>
      <c r="E150" s="284">
        <f>IF($D150 = 0,0,DATEDIF($D150,$D$7,"D"))</f>
        <v>670</v>
      </c>
      <c r="F150" s="193">
        <f>((R150*$R$2)+(S150*$S$2)+(T150*$T$2)++(U150*$U$2)++(V150*$V$2)++(W150*$W$2)++(X150*$X$2)++(Y150*$Y$2)+(Z150*$Z$2)+(AA150*$AA$2)+(AB150*$AB$2)+(AC150*$AC$2)+(AD150*$AD$2)+(AE150*$AE$2)+(AF150*$AF$2)+(AG150*$AG$2)+(AH150*$AH$2)+(AI150*$AI$2)+(AJ150*$AJ$2)+(AK150*$AK$2)+(AL150*$AL$2)+(AM150*$AM$2)+(AN150*$AN$2)+(AO150*$AO$2)+(AP150*$AP$2)+(AQ150*$AQ$2)+(AR150*$AR$2)+(AS150*$AS$2)+(AT150*$AT$2)+(AU150*$AU$2)+(AV150*$AV$2)+(AW150*$AW$2))</f>
        <v>125</v>
      </c>
      <c r="G150" s="8" t="s">
        <v>42</v>
      </c>
      <c r="H150" s="9">
        <v>125</v>
      </c>
      <c r="I150" s="9"/>
      <c r="J150" s="9"/>
      <c r="K150" s="93">
        <f>+F150-I150+J150-H150</f>
        <v>0</v>
      </c>
      <c r="L150" s="64">
        <v>0</v>
      </c>
      <c r="M150" s="253">
        <f>+K150-L150</f>
        <v>0</v>
      </c>
      <c r="N150" s="253"/>
      <c r="O150" s="253"/>
      <c r="P150" s="253"/>
      <c r="Q150" s="271"/>
      <c r="R150" s="5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>
        <v>1</v>
      </c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194">
        <f>IF($G150="Youth 0-3",1,0)</f>
        <v>0</v>
      </c>
      <c r="AY150" s="194">
        <f>IF($G150="Youth 4-11",1,0)</f>
        <v>0</v>
      </c>
      <c r="AZ150" s="194">
        <f>IF($G150="Youth 12-15",1,0)</f>
        <v>0</v>
      </c>
      <c r="BA150" s="194">
        <f>IF($G150="Addict",1,0)</f>
        <v>0</v>
      </c>
      <c r="BB150" s="194">
        <f>IF($G150="Non-Addict",1,0)</f>
        <v>0</v>
      </c>
      <c r="BC150" s="194">
        <f>IF($G150="Free Reg Certificate",1,0)</f>
        <v>1</v>
      </c>
      <c r="BD150" s="194">
        <f>IF($G150="Newcomer",1,0)</f>
        <v>0</v>
      </c>
      <c r="BE150" s="194">
        <f>IF($G150="Committee",1,0)</f>
        <v>0</v>
      </c>
      <c r="BF150" s="194">
        <f>IF($G150="Treatment",1,0)</f>
        <v>0</v>
      </c>
      <c r="BG150" s="194">
        <f>IF($G150="Meeting Sponsored",1,0)</f>
        <v>0</v>
      </c>
      <c r="BH150" s="194">
        <f>IF($G150="Programming",1,0)</f>
        <v>0</v>
      </c>
      <c r="BI150" s="194">
        <f>IF($G150="Hardship",1,0)</f>
        <v>0</v>
      </c>
      <c r="BJ150" s="194">
        <f>IF($G150="Refund",1,0)</f>
        <v>0</v>
      </c>
      <c r="BK150" s="194">
        <f>IF($G150="Vermilion Bucks",1,0)</f>
        <v>0</v>
      </c>
      <c r="BL150" s="194">
        <f>IF($G150="Other",1,0)</f>
        <v>0</v>
      </c>
      <c r="BM150" s="286"/>
      <c r="BN150" s="286"/>
      <c r="BO150" s="286">
        <f>SUM(AX150:BL150)</f>
        <v>1</v>
      </c>
      <c r="BP150" s="287">
        <f>SUM(R150:AW150)</f>
        <v>1</v>
      </c>
      <c r="BQ150" s="287">
        <f>+BO150+BP150</f>
        <v>2</v>
      </c>
    </row>
    <row r="151" spans="1:85" s="7" customFormat="1" ht="10.199999999999999" customHeight="1" x14ac:dyDescent="0.2">
      <c r="A151" s="294" t="s">
        <v>449</v>
      </c>
      <c r="B151" s="177"/>
      <c r="C151" s="5">
        <v>87</v>
      </c>
      <c r="D151" s="6">
        <v>44188</v>
      </c>
      <c r="E151" s="284">
        <f>IF($D151 = 0,0,DATEDIF($D151,$D$7,"D"))</f>
        <v>262</v>
      </c>
      <c r="F151" s="193">
        <f>((R151*$R$2)+(S151*$S$2)+(T151*$T$2)++(U151*$U$2)++(V151*$V$2)++(W151*$W$2)++(X151*$X$2)++(Y151*$Y$2)+(Z151*$Z$2)+(AA151*$AA$2)+(AB151*$AB$2)+(AC151*$AC$2)+(AD151*$AD$2)+(AE151*$AE$2)+(AF151*$AF$2)+(AG151*$AG$2)+(AH151*$AH$2)+(AI151*$AI$2)+(AJ151*$AJ$2)+(AK151*$AK$2)+(AL151*$AL$2)+(AM151*$AM$2)+(AN151*$AN$2)+(AO151*$AO$2)+(AP151*$AP$2)+(AQ151*$AQ$2)+(AR151*$AR$2)+(AS151*$AS$2)+(AT151*$AT$2)+(AU151*$AU$2)+(AV151*$AV$2)+(AW151*$AW$2))</f>
        <v>125</v>
      </c>
      <c r="G151" s="8" t="s">
        <v>38</v>
      </c>
      <c r="H151" s="9"/>
      <c r="I151" s="9"/>
      <c r="J151" s="9"/>
      <c r="K151" s="93">
        <f>+F151-I151+J151-H151</f>
        <v>125</v>
      </c>
      <c r="L151" s="64">
        <v>125</v>
      </c>
      <c r="M151" s="275">
        <f>+K151-L151</f>
        <v>0</v>
      </c>
      <c r="N151" s="275"/>
      <c r="O151" s="275"/>
      <c r="P151" s="253"/>
      <c r="Q151" s="293"/>
      <c r="R151" s="5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>
        <v>1</v>
      </c>
      <c r="AO151" s="8"/>
      <c r="AP151" s="8"/>
      <c r="AQ151" s="8"/>
      <c r="AR151" s="8"/>
      <c r="AS151" s="8"/>
      <c r="AT151" s="8"/>
      <c r="AU151" s="8"/>
      <c r="AV151" s="8"/>
      <c r="AW151" s="8"/>
      <c r="AX151" s="194">
        <f>IF($G151="Youth 0-3",1,0)</f>
        <v>0</v>
      </c>
      <c r="AY151" s="194">
        <f>IF($G151="Youth 4-11",1,0)</f>
        <v>0</v>
      </c>
      <c r="AZ151" s="194">
        <f>IF($G151="Youth 12-15",1,0)</f>
        <v>0</v>
      </c>
      <c r="BA151" s="194">
        <f>IF($G151="Addict",1,0)</f>
        <v>1</v>
      </c>
      <c r="BB151" s="194">
        <f>IF($G151="Non-Addict",1,0)</f>
        <v>0</v>
      </c>
      <c r="BC151" s="194">
        <f>IF($G151="Free Reg Certificate",1,0)</f>
        <v>0</v>
      </c>
      <c r="BD151" s="194">
        <f>IF($G151="Newcomer",1,0)</f>
        <v>0</v>
      </c>
      <c r="BE151" s="194">
        <f>IF($G151="Committee",1,0)</f>
        <v>0</v>
      </c>
      <c r="BF151" s="194">
        <f>IF($G151="Treatment",1,0)</f>
        <v>0</v>
      </c>
      <c r="BG151" s="194">
        <f>IF($G151="Meeting Sponsored",1,0)</f>
        <v>0</v>
      </c>
      <c r="BH151" s="194">
        <f>IF($G151="Programming",1,0)</f>
        <v>0</v>
      </c>
      <c r="BI151" s="194">
        <f>IF($G151="Hardship",1,0)</f>
        <v>0</v>
      </c>
      <c r="BJ151" s="194">
        <f>IF($G151="Refund",1,0)</f>
        <v>0</v>
      </c>
      <c r="BK151" s="194">
        <f>IF($G151="Vermilion Bucks",1,0)</f>
        <v>0</v>
      </c>
      <c r="BL151" s="194">
        <f>IF($G151="Other",1,0)</f>
        <v>0</v>
      </c>
      <c r="BM151" s="286"/>
      <c r="BN151" s="286"/>
      <c r="BO151" s="286">
        <f>SUM(AX151:BL151)</f>
        <v>1</v>
      </c>
      <c r="BP151" s="287">
        <f>SUM(R151:AW151)</f>
        <v>1</v>
      </c>
      <c r="BQ151" s="287">
        <f>+BO151+BP151</f>
        <v>2</v>
      </c>
    </row>
    <row r="152" spans="1:85" s="7" customFormat="1" ht="10.199999999999999" customHeight="1" x14ac:dyDescent="0.2">
      <c r="A152" s="294" t="s">
        <v>363</v>
      </c>
      <c r="B152" s="177"/>
      <c r="C152" s="5">
        <v>100</v>
      </c>
      <c r="D152" s="6">
        <v>30847</v>
      </c>
      <c r="E152" s="284">
        <f>IF($D152 = 0,0,DATEDIF($D152,$D$7,"D"))</f>
        <v>13603</v>
      </c>
      <c r="F152" s="193">
        <f>((R152*$R$2)+(S152*$S$2)+(T152*$T$2)++(U152*$U$2)++(V152*$V$2)++(W152*$W$2)++(X152*$X$2)++(Y152*$Y$2)+(Z152*$Z$2)+(AA152*$AA$2)+(AB152*$AB$2)+(AC152*$AC$2)+(AD152*$AD$2)+(AE152*$AE$2)+(AF152*$AF$2)+(AG152*$AG$2)+(AH152*$AH$2)+(AI152*$AI$2)+(AJ152*$AJ$2)+(AK152*$AK$2)+(AL152*$AL$2)+(AM152*$AM$2)+(AN152*$AN$2)+(AO152*$AO$2)+(AP152*$AP$2)+(AQ152*$AQ$2)+(AR152*$AR$2)+(AS152*$AS$2)+(AT152*$AT$2)+(AU152*$AU$2)+(AV152*$AV$2)+(AW152*$AW$2))</f>
        <v>110</v>
      </c>
      <c r="G152" s="8" t="s">
        <v>38</v>
      </c>
      <c r="H152" s="9"/>
      <c r="I152" s="9"/>
      <c r="J152" s="9"/>
      <c r="K152" s="93">
        <f>+F152-I152+J152-H152</f>
        <v>110</v>
      </c>
      <c r="L152" s="64">
        <v>110</v>
      </c>
      <c r="M152" s="275">
        <f>+K152-L152</f>
        <v>0</v>
      </c>
      <c r="N152" s="275"/>
      <c r="O152" s="275"/>
      <c r="P152" s="253"/>
      <c r="Q152" s="293"/>
      <c r="R152" s="5"/>
      <c r="S152" s="8"/>
      <c r="T152" s="8">
        <v>1</v>
      </c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194">
        <f>IF($G152="Youth 0-3",1,0)</f>
        <v>0</v>
      </c>
      <c r="AY152" s="194">
        <f>IF($G152="Youth 4-11",1,0)</f>
        <v>0</v>
      </c>
      <c r="AZ152" s="194">
        <f>IF($G152="Youth 12-15",1,0)</f>
        <v>0</v>
      </c>
      <c r="BA152" s="194">
        <f>IF($G152="Addict",1,0)</f>
        <v>1</v>
      </c>
      <c r="BB152" s="194">
        <f>IF($G152="Non-Addict",1,0)</f>
        <v>0</v>
      </c>
      <c r="BC152" s="194">
        <f>IF($G152="Free Reg Certificate",1,0)</f>
        <v>0</v>
      </c>
      <c r="BD152" s="194">
        <f>IF($G152="Newcomer",1,0)</f>
        <v>0</v>
      </c>
      <c r="BE152" s="194">
        <f>IF($G152="Committee",1,0)</f>
        <v>0</v>
      </c>
      <c r="BF152" s="194">
        <f>IF($G152="Treatment",1,0)</f>
        <v>0</v>
      </c>
      <c r="BG152" s="194">
        <f>IF($G152="Meeting Sponsored",1,0)</f>
        <v>0</v>
      </c>
      <c r="BH152" s="194">
        <f>IF($G152="Programming",1,0)</f>
        <v>0</v>
      </c>
      <c r="BI152" s="194">
        <f>IF($G152="Hardship",1,0)</f>
        <v>0</v>
      </c>
      <c r="BJ152" s="194">
        <f>IF($G152="Refund",1,0)</f>
        <v>0</v>
      </c>
      <c r="BK152" s="194">
        <f>IF($G152="Vermilion Bucks",1,0)</f>
        <v>0</v>
      </c>
      <c r="BL152" s="194">
        <f>IF($G152="Other",1,0)</f>
        <v>0</v>
      </c>
      <c r="BM152" s="286"/>
      <c r="BN152" s="286"/>
      <c r="BO152" s="286">
        <f>SUM(AX152:BL152)</f>
        <v>1</v>
      </c>
      <c r="BP152" s="287">
        <f>SUM(R152:AW152)</f>
        <v>1</v>
      </c>
      <c r="BQ152" s="287">
        <f>+BO152+BP152</f>
        <v>2</v>
      </c>
    </row>
    <row r="153" spans="1:85" s="7" customFormat="1" ht="10.199999999999999" customHeight="1" x14ac:dyDescent="0.2">
      <c r="A153" s="294" t="s">
        <v>391</v>
      </c>
      <c r="B153" s="283" t="s">
        <v>388</v>
      </c>
      <c r="C153" s="5">
        <v>55</v>
      </c>
      <c r="D153" s="6">
        <v>37255</v>
      </c>
      <c r="E153" s="284">
        <f>IF($D153 = 0,0,DATEDIF($D153,$D$7,"D"))</f>
        <v>7195</v>
      </c>
      <c r="F153" s="193">
        <f>((R153*$R$2)+(S153*$S$2)+(T153*$T$2)++(U153*$U$2)++(V153*$V$2)++(W153*$W$2)++(X153*$X$2)++(Y153*$Y$2)+(Z153*$Z$2)+(AA153*$AA$2)+(AB153*$AB$2)+(AC153*$AC$2)+(AD153*$AD$2)+(AE153*$AE$2)+(AF153*$AF$2)+(AG153*$AG$2)+(AH153*$AH$2)+(AI153*$AI$2)+(AJ153*$AJ$2)+(AK153*$AK$2)+(AL153*$AL$2)+(AM153*$AM$2)+(AN153*$AN$2)+(AO153*$AO$2)+(AP153*$AP$2)+(AQ153*$AQ$2)+(AR153*$AR$2)+(AS153*$AS$2)+(AT153*$AT$2)+(AU153*$AU$2)+(AV153*$AV$2)+(AW153*$AW$2))</f>
        <v>125</v>
      </c>
      <c r="G153" s="8" t="s">
        <v>42</v>
      </c>
      <c r="H153" s="9">
        <v>125</v>
      </c>
      <c r="I153" s="9"/>
      <c r="J153" s="9"/>
      <c r="K153" s="93">
        <f>+F153-I153+J153-H153</f>
        <v>0</v>
      </c>
      <c r="L153" s="64">
        <v>0</v>
      </c>
      <c r="M153" s="275">
        <f>+K153-L153</f>
        <v>0</v>
      </c>
      <c r="N153" s="275"/>
      <c r="O153" s="275"/>
      <c r="P153" s="253"/>
      <c r="Q153" s="293"/>
      <c r="R153" s="5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>
        <v>1</v>
      </c>
      <c r="AS153" s="8"/>
      <c r="AT153" s="8"/>
      <c r="AU153" s="8"/>
      <c r="AV153" s="8"/>
      <c r="AW153" s="8"/>
      <c r="AX153" s="194">
        <f>IF($G153="Youth 0-3",1,0)</f>
        <v>0</v>
      </c>
      <c r="AY153" s="194">
        <f>IF($G153="Youth 4-11",1,0)</f>
        <v>0</v>
      </c>
      <c r="AZ153" s="194">
        <f>IF($G153="Youth 12-15",1,0)</f>
        <v>0</v>
      </c>
      <c r="BA153" s="194">
        <f>IF($G153="Addict",1,0)</f>
        <v>0</v>
      </c>
      <c r="BB153" s="194">
        <f>IF($G153="Non-Addict",1,0)</f>
        <v>0</v>
      </c>
      <c r="BC153" s="194">
        <f>IF($G153="Free Reg Certificate",1,0)</f>
        <v>1</v>
      </c>
      <c r="BD153" s="194">
        <f>IF($G153="Newcomer",1,0)</f>
        <v>0</v>
      </c>
      <c r="BE153" s="194">
        <f>IF($G153="Committee",1,0)</f>
        <v>0</v>
      </c>
      <c r="BF153" s="194">
        <f>IF($G153="Treatment",1,0)</f>
        <v>0</v>
      </c>
      <c r="BG153" s="194">
        <f>IF($G153="Meeting Sponsored",1,0)</f>
        <v>0</v>
      </c>
      <c r="BH153" s="194">
        <f>IF($G153="Programming",1,0)</f>
        <v>0</v>
      </c>
      <c r="BI153" s="194">
        <f>IF($G153="Hardship",1,0)</f>
        <v>0</v>
      </c>
      <c r="BJ153" s="194">
        <f>IF($G153="Refund",1,0)</f>
        <v>0</v>
      </c>
      <c r="BK153" s="194">
        <f>IF($G153="Vermilion Bucks",1,0)</f>
        <v>0</v>
      </c>
      <c r="BL153" s="194">
        <f>IF($G153="Other",1,0)</f>
        <v>0</v>
      </c>
      <c r="BM153" s="286"/>
      <c r="BN153" s="286"/>
      <c r="BO153" s="286">
        <f>SUM(AX153:BL153)</f>
        <v>1</v>
      </c>
      <c r="BP153" s="287">
        <f>SUM(R153:AW153)</f>
        <v>1</v>
      </c>
      <c r="BQ153" s="287">
        <f>+BO153+BP153</f>
        <v>2</v>
      </c>
    </row>
    <row r="154" spans="1:85" s="7" customFormat="1" ht="10.199999999999999" customHeight="1" x14ac:dyDescent="0.2">
      <c r="A154" s="294" t="s">
        <v>375</v>
      </c>
      <c r="B154" s="283" t="s">
        <v>454</v>
      </c>
      <c r="C154" s="5">
        <v>178</v>
      </c>
      <c r="D154" s="6">
        <v>43752</v>
      </c>
      <c r="E154" s="284">
        <f>IF($D154 = 0,0,DATEDIF($D154,$D$7,"D"))</f>
        <v>698</v>
      </c>
      <c r="F154" s="193">
        <f>((R154*$R$2)+(S154*$S$2)+(T154*$T$2)++(U154*$U$2)++(V154*$V$2)++(W154*$W$2)++(X154*$X$2)++(Y154*$Y$2)+(Z154*$Z$2)+(AA154*$AA$2)+(AB154*$AB$2)+(AC154*$AC$2)+(AD154*$AD$2)+(AE154*$AE$2)+(AF154*$AF$2)+(AG154*$AG$2)+(AH154*$AH$2)+(AI154*$AI$2)+(AJ154*$AJ$2)+(AK154*$AK$2)+(AL154*$AL$2)+(AM154*$AM$2)+(AN154*$AN$2)+(AO154*$AO$2)+(AP154*$AP$2)+(AQ154*$AQ$2)+(AR154*$AR$2)+(AS154*$AS$2)+(AT154*$AT$2)+(AU154*$AU$2)+(AV154*$AV$2)+(AW154*$AW$2))</f>
        <v>100</v>
      </c>
      <c r="G154" s="8" t="s">
        <v>38</v>
      </c>
      <c r="H154" s="9"/>
      <c r="I154" s="9"/>
      <c r="J154" s="9"/>
      <c r="K154" s="93">
        <f>+F154-I154+J154-H154</f>
        <v>100</v>
      </c>
      <c r="L154" s="64">
        <v>100</v>
      </c>
      <c r="M154" s="275">
        <f>+K154-L154</f>
        <v>0</v>
      </c>
      <c r="N154" s="275"/>
      <c r="O154" s="275"/>
      <c r="P154" s="253"/>
      <c r="Q154" s="293"/>
      <c r="R154" s="5"/>
      <c r="S154" s="8">
        <v>1</v>
      </c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194">
        <f>IF($G154="Youth 0-3",1,0)</f>
        <v>0</v>
      </c>
      <c r="AY154" s="194">
        <f>IF($G154="Youth 4-11",1,0)</f>
        <v>0</v>
      </c>
      <c r="AZ154" s="194">
        <f>IF($G154="Youth 12-15",1,0)</f>
        <v>0</v>
      </c>
      <c r="BA154" s="194">
        <f>IF($G154="Addict",1,0)</f>
        <v>1</v>
      </c>
      <c r="BB154" s="194">
        <f>IF($G154="Non-Addict",1,0)</f>
        <v>0</v>
      </c>
      <c r="BC154" s="194">
        <f>IF($G154="Free Reg Certificate",1,0)</f>
        <v>0</v>
      </c>
      <c r="BD154" s="194">
        <f>IF($G154="Newcomer",1,0)</f>
        <v>0</v>
      </c>
      <c r="BE154" s="194">
        <f>IF($G154="Committee",1,0)</f>
        <v>0</v>
      </c>
      <c r="BF154" s="194">
        <f>IF($G154="Treatment",1,0)</f>
        <v>0</v>
      </c>
      <c r="BG154" s="194">
        <f>IF($G154="Meeting Sponsored",1,0)</f>
        <v>0</v>
      </c>
      <c r="BH154" s="194">
        <f>IF($G154="Programming",1,0)</f>
        <v>0</v>
      </c>
      <c r="BI154" s="194">
        <f>IF($G154="Hardship",1,0)</f>
        <v>0</v>
      </c>
      <c r="BJ154" s="194">
        <f>IF($G154="Refund",1,0)</f>
        <v>0</v>
      </c>
      <c r="BK154" s="194">
        <f>IF($G154="Vermilion Bucks",1,0)</f>
        <v>0</v>
      </c>
      <c r="BL154" s="194">
        <f>IF($G154="Other",1,0)</f>
        <v>0</v>
      </c>
      <c r="BM154" s="286"/>
      <c r="BN154" s="286"/>
      <c r="BO154" s="286">
        <f>SUM(AX154:BL154)</f>
        <v>1</v>
      </c>
      <c r="BP154" s="287">
        <f>SUM(R154:AW154)</f>
        <v>1</v>
      </c>
      <c r="BQ154" s="287">
        <f>+BO154+BP154</f>
        <v>2</v>
      </c>
    </row>
    <row r="155" spans="1:85" s="7" customFormat="1" ht="10.199999999999999" customHeight="1" x14ac:dyDescent="0.2">
      <c r="A155" s="294" t="s">
        <v>342</v>
      </c>
      <c r="B155" s="186" t="s">
        <v>343</v>
      </c>
      <c r="C155" s="5">
        <v>78</v>
      </c>
      <c r="D155" s="6">
        <v>40955</v>
      </c>
      <c r="E155" s="284">
        <f>IF($D155 = 0,0,DATEDIF($D155,$D$7,"D"))</f>
        <v>3495</v>
      </c>
      <c r="F155" s="193">
        <f>((R155*$R$2)+(S155*$S$2)+(T155*$T$2)++(U155*$U$2)++(V155*$V$2)++(W155*$W$2)++(X155*$X$2)++(Y155*$Y$2)+(Z155*$Z$2)+(AA155*$AA$2)+(AB155*$AB$2)+(AC155*$AC$2)+(AD155*$AD$2)+(AE155*$AE$2)+(AF155*$AF$2)+(AG155*$AG$2)+(AH155*$AH$2)+(AI155*$AI$2)+(AJ155*$AJ$2)+(AK155*$AK$2)+(AL155*$AL$2)+(AM155*$AM$2)+(AN155*$AN$2)+(AO155*$AO$2)+(AP155*$AP$2)+(AQ155*$AQ$2)+(AR155*$AR$2)+(AS155*$AS$2)+(AT155*$AT$2)+(AU155*$AU$2)+(AV155*$AV$2)+(AW155*$AW$2))</f>
        <v>160</v>
      </c>
      <c r="G155" s="8" t="s">
        <v>6</v>
      </c>
      <c r="H155" s="9">
        <v>25</v>
      </c>
      <c r="I155" s="9"/>
      <c r="J155" s="9"/>
      <c r="K155" s="93">
        <f>+F155-I155+J155-H155</f>
        <v>135</v>
      </c>
      <c r="L155" s="64">
        <v>135</v>
      </c>
      <c r="M155" s="275">
        <f>+K155-L155</f>
        <v>0</v>
      </c>
      <c r="N155" s="275"/>
      <c r="O155" s="275"/>
      <c r="P155" s="253"/>
      <c r="Q155" s="293"/>
      <c r="R155" s="5"/>
      <c r="S155" s="8"/>
      <c r="T155" s="8"/>
      <c r="U155" s="8"/>
      <c r="V155" s="8">
        <v>1</v>
      </c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194">
        <f>IF($G155="Youth 0-3",1,0)</f>
        <v>0</v>
      </c>
      <c r="AY155" s="194">
        <f>IF($G155="Youth 4-11",1,0)</f>
        <v>0</v>
      </c>
      <c r="AZ155" s="194">
        <f>IF($G155="Youth 12-15",1,0)</f>
        <v>0</v>
      </c>
      <c r="BA155" s="194">
        <f>IF($G155="Addict",1,0)</f>
        <v>0</v>
      </c>
      <c r="BB155" s="194">
        <f>IF($G155="Non-Addict",1,0)</f>
        <v>0</v>
      </c>
      <c r="BC155" s="194">
        <f>IF($G155="Free Reg Certificate",1,0)</f>
        <v>0</v>
      </c>
      <c r="BD155" s="194">
        <f>IF($G155="Newcomer",1,0)</f>
        <v>0</v>
      </c>
      <c r="BE155" s="194">
        <f>IF($G155="Committee",1,0)</f>
        <v>1</v>
      </c>
      <c r="BF155" s="194">
        <f>IF($G155="Treatment",1,0)</f>
        <v>0</v>
      </c>
      <c r="BG155" s="194">
        <f>IF($G155="Meeting Sponsored",1,0)</f>
        <v>0</v>
      </c>
      <c r="BH155" s="194">
        <f>IF($G155="Programming",1,0)</f>
        <v>0</v>
      </c>
      <c r="BI155" s="194">
        <f>IF($G155="Hardship",1,0)</f>
        <v>0</v>
      </c>
      <c r="BJ155" s="194">
        <f>IF($G155="Refund",1,0)</f>
        <v>0</v>
      </c>
      <c r="BK155" s="194">
        <f>IF($G155="Vermilion Bucks",1,0)</f>
        <v>0</v>
      </c>
      <c r="BL155" s="194">
        <f>IF($G155="Other",1,0)</f>
        <v>0</v>
      </c>
      <c r="BM155" s="286"/>
      <c r="BN155" s="286"/>
      <c r="BO155" s="286">
        <f>SUM(AX155:BL155)</f>
        <v>1</v>
      </c>
      <c r="BP155" s="287">
        <f>SUM(R155:AW155)</f>
        <v>1</v>
      </c>
      <c r="BQ155" s="287">
        <f>+BO155+BP155</f>
        <v>2</v>
      </c>
    </row>
    <row r="156" spans="1:85" s="7" customFormat="1" ht="10.199999999999999" customHeight="1" x14ac:dyDescent="0.2">
      <c r="A156" s="294" t="s">
        <v>400</v>
      </c>
      <c r="B156" s="283" t="s">
        <v>405</v>
      </c>
      <c r="C156" s="5">
        <v>209</v>
      </c>
      <c r="D156" s="6">
        <v>44421</v>
      </c>
      <c r="E156" s="284">
        <f>IF($D156 = 0,0,DATEDIF($D156,$D$7,"D"))</f>
        <v>29</v>
      </c>
      <c r="F156" s="193">
        <f>((R156*$R$2)+(S156*$S$2)+(T156*$T$2)++(U156*$U$2)++(V156*$V$2)++(W156*$W$2)++(X156*$X$2)++(Y156*$Y$2)+(Z156*$Z$2)+(AA156*$AA$2)+(AB156*$AB$2)+(AC156*$AC$2)+(AD156*$AD$2)+(AE156*$AE$2)+(AF156*$AF$2)+(AG156*$AG$2)+(AH156*$AH$2)+(AI156*$AI$2)+(AJ156*$AJ$2)+(AK156*$AK$2)+(AL156*$AL$2)+(AM156*$AM$2)+(AN156*$AN$2)+(AO156*$AO$2)+(AP156*$AP$2)+(AQ156*$AQ$2)+(AR156*$AR$2)+(AS156*$AS$2)+(AT156*$AT$2)+(AU156*$AU$2)+(AV156*$AV$2)+(AW156*$AW$2))</f>
        <v>100</v>
      </c>
      <c r="G156" s="8" t="s">
        <v>27</v>
      </c>
      <c r="H156" s="9">
        <v>50</v>
      </c>
      <c r="I156" s="9"/>
      <c r="J156" s="9"/>
      <c r="K156" s="93">
        <f>+F156-I156+J156-H156</f>
        <v>50</v>
      </c>
      <c r="L156" s="64">
        <v>50</v>
      </c>
      <c r="M156" s="275">
        <f>+K156-L156</f>
        <v>0</v>
      </c>
      <c r="N156" s="275"/>
      <c r="O156" s="275"/>
      <c r="P156" s="253"/>
      <c r="Q156" s="293"/>
      <c r="R156" s="5"/>
      <c r="S156" s="8">
        <v>1</v>
      </c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194">
        <f>IF($G156="Youth 0-3",1,0)</f>
        <v>0</v>
      </c>
      <c r="AY156" s="194">
        <f>IF($G156="Youth 4-11",1,0)</f>
        <v>0</v>
      </c>
      <c r="AZ156" s="194">
        <f>IF($G156="Youth 12-15",1,0)</f>
        <v>0</v>
      </c>
      <c r="BA156" s="194">
        <f>IF($G156="Addict",1,0)</f>
        <v>0</v>
      </c>
      <c r="BB156" s="194">
        <f>IF($G156="Non-Addict",1,0)</f>
        <v>0</v>
      </c>
      <c r="BC156" s="194">
        <f>IF($G156="Free Reg Certificate",1,0)</f>
        <v>0</v>
      </c>
      <c r="BD156" s="194">
        <f>IF($G156="Newcomer",1,0)</f>
        <v>1</v>
      </c>
      <c r="BE156" s="194">
        <f>IF($G156="Committee",1,0)</f>
        <v>0</v>
      </c>
      <c r="BF156" s="194">
        <f>IF($G156="Treatment",1,0)</f>
        <v>0</v>
      </c>
      <c r="BG156" s="194">
        <f>IF($G156="Meeting Sponsored",1,0)</f>
        <v>0</v>
      </c>
      <c r="BH156" s="194">
        <f>IF($G156="Programming",1,0)</f>
        <v>0</v>
      </c>
      <c r="BI156" s="194">
        <f>IF($G156="Hardship",1,0)</f>
        <v>0</v>
      </c>
      <c r="BJ156" s="194">
        <f>IF($G156="Refund",1,0)</f>
        <v>0</v>
      </c>
      <c r="BK156" s="194">
        <f>IF($G156="Vermilion Bucks",1,0)</f>
        <v>0</v>
      </c>
      <c r="BL156" s="194">
        <f>IF($G156="Other",1,0)</f>
        <v>0</v>
      </c>
      <c r="BM156" s="286"/>
      <c r="BN156" s="286"/>
      <c r="BO156" s="286">
        <f>SUM(AX156:BL156)</f>
        <v>1</v>
      </c>
      <c r="BP156" s="287">
        <f>SUM(R156:AW156)</f>
        <v>1</v>
      </c>
      <c r="BQ156" s="287">
        <f>+BO156+BP156</f>
        <v>2</v>
      </c>
    </row>
    <row r="157" spans="1:85" s="7" customFormat="1" ht="10.199999999999999" customHeight="1" x14ac:dyDescent="0.2">
      <c r="A157" s="294" t="s">
        <v>440</v>
      </c>
      <c r="B157" s="177"/>
      <c r="C157" s="5">
        <v>265</v>
      </c>
      <c r="D157" s="6">
        <v>44410</v>
      </c>
      <c r="E157" s="284">
        <f>IF($D157 = 0,0,DATEDIF($D157,$D$7,"D"))</f>
        <v>40</v>
      </c>
      <c r="F157" s="193">
        <f>((R157*$R$2)+(S157*$S$2)+(T157*$T$2)++(U157*$U$2)++(V157*$V$2)++(W157*$W$2)++(X157*$X$2)++(Y157*$Y$2)+(Z157*$Z$2)+(AA157*$AA$2)+(AB157*$AB$2)+(AC157*$AC$2)+(AD157*$AD$2)+(AE157*$AE$2)+(AF157*$AF$2)+(AG157*$AG$2)+(AH157*$AH$2)+(AI157*$AI$2)+(AJ157*$AJ$2)+(AK157*$AK$2)+(AL157*$AL$2)+(AM157*$AM$2)+(AN157*$AN$2)+(AO157*$AO$2)+(AP157*$AP$2)+(AQ157*$AQ$2)+(AR157*$AR$2)+(AS157*$AS$2)+(AT157*$AT$2)+(AU157*$AU$2)+(AV157*$AV$2)+(AW157*$AW$2))</f>
        <v>100</v>
      </c>
      <c r="G157" s="8" t="s">
        <v>27</v>
      </c>
      <c r="H157" s="9">
        <v>50</v>
      </c>
      <c r="I157" s="9"/>
      <c r="J157" s="9"/>
      <c r="K157" s="93">
        <f>+F157-I157+J157-H157</f>
        <v>50</v>
      </c>
      <c r="L157" s="64">
        <v>50</v>
      </c>
      <c r="M157" s="275">
        <f>+K157-L157</f>
        <v>0</v>
      </c>
      <c r="N157" s="275"/>
      <c r="O157" s="275"/>
      <c r="P157" s="253"/>
      <c r="Q157" s="293"/>
      <c r="R157" s="5"/>
      <c r="S157" s="8">
        <v>1</v>
      </c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194">
        <f>IF($G157="Youth 0-3",1,0)</f>
        <v>0</v>
      </c>
      <c r="AY157" s="194">
        <f>IF($G157="Youth 4-11",1,0)</f>
        <v>0</v>
      </c>
      <c r="AZ157" s="194">
        <f>IF($G157="Youth 12-15",1,0)</f>
        <v>0</v>
      </c>
      <c r="BA157" s="194">
        <f>IF($G157="Addict",1,0)</f>
        <v>0</v>
      </c>
      <c r="BB157" s="194">
        <f>IF($G157="Non-Addict",1,0)</f>
        <v>0</v>
      </c>
      <c r="BC157" s="194">
        <f>IF($G157="Free Reg Certificate",1,0)</f>
        <v>0</v>
      </c>
      <c r="BD157" s="194">
        <f>IF($G157="Newcomer",1,0)</f>
        <v>1</v>
      </c>
      <c r="BE157" s="194">
        <f>IF($G157="Committee",1,0)</f>
        <v>0</v>
      </c>
      <c r="BF157" s="194">
        <f>IF($G157="Treatment",1,0)</f>
        <v>0</v>
      </c>
      <c r="BG157" s="194">
        <f>IF($G157="Meeting Sponsored",1,0)</f>
        <v>0</v>
      </c>
      <c r="BH157" s="194">
        <f>IF($G157="Programming",1,0)</f>
        <v>0</v>
      </c>
      <c r="BI157" s="194">
        <f>IF($G157="Hardship",1,0)</f>
        <v>0</v>
      </c>
      <c r="BJ157" s="194">
        <f>IF($G157="Refund",1,0)</f>
        <v>0</v>
      </c>
      <c r="BK157" s="194">
        <f>IF($G157="Vermilion Bucks",1,0)</f>
        <v>0</v>
      </c>
      <c r="BL157" s="194">
        <f>IF($G157="Other",1,0)</f>
        <v>0</v>
      </c>
      <c r="BM157" s="286"/>
      <c r="BN157" s="286"/>
      <c r="BO157" s="286">
        <f>SUM(AX157:BL157)</f>
        <v>1</v>
      </c>
      <c r="BP157" s="287">
        <f>SUM(R157:AW157)</f>
        <v>1</v>
      </c>
      <c r="BQ157" s="287">
        <f>+BO157+BP157</f>
        <v>2</v>
      </c>
    </row>
    <row r="158" spans="1:85" s="7" customFormat="1" x14ac:dyDescent="0.2">
      <c r="A158" s="294" t="s">
        <v>355</v>
      </c>
      <c r="B158" s="283" t="s">
        <v>356</v>
      </c>
      <c r="C158" s="5">
        <v>197</v>
      </c>
      <c r="D158" s="6">
        <v>38173</v>
      </c>
      <c r="E158" s="284">
        <f>IF($D158 = 0,0,DATEDIF($D158,$D$7,"D"))</f>
        <v>6277</v>
      </c>
      <c r="F158" s="193">
        <f>((R158*$R$2)+(S158*$S$2)+(T158*$T$2)++(U158*$U$2)++(V158*$V$2)++(W158*$W$2)++(X158*$X$2)++(Y158*$Y$2)+(Z158*$Z$2)+(AA158*$AA$2)+(AB158*$AB$2)+(AC158*$AC$2)+(AD158*$AD$2)+(AE158*$AE$2)+(AF158*$AF$2)+(AG158*$AG$2)+(AH158*$AH$2)+(AI158*$AI$2)+(AJ158*$AJ$2)+(AK158*$AK$2)+(AL158*$AL$2)+(AM158*$AM$2)+(AN158*$AN$2)+(AO158*$AO$2)+(AP158*$AP$2)+(AQ158*$AQ$2)+(AR158*$AR$2)+(AS158*$AS$2)+(AT158*$AT$2)+(AU158*$AU$2)+(AV158*$AV$2)+(AW158*$AW$2))</f>
        <v>125</v>
      </c>
      <c r="G158" s="8" t="s">
        <v>38</v>
      </c>
      <c r="H158" s="9"/>
      <c r="I158" s="9"/>
      <c r="J158" s="9"/>
      <c r="K158" s="93">
        <f>+F158-I158+J158-H158</f>
        <v>125</v>
      </c>
      <c r="L158" s="64">
        <v>125</v>
      </c>
      <c r="M158" s="275">
        <f>+K158-L158</f>
        <v>0</v>
      </c>
      <c r="N158" s="275"/>
      <c r="O158" s="275"/>
      <c r="P158" s="253"/>
      <c r="Q158" s="293"/>
      <c r="R158" s="5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>
        <v>1</v>
      </c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194">
        <f>IF($G158="Youth 0-3",1,0)</f>
        <v>0</v>
      </c>
      <c r="AY158" s="194">
        <f>IF($G158="Youth 4-11",1,0)</f>
        <v>0</v>
      </c>
      <c r="AZ158" s="194">
        <f>IF($G158="Youth 12-15",1,0)</f>
        <v>0</v>
      </c>
      <c r="BA158" s="194">
        <f>IF($G158="Addict",1,0)</f>
        <v>1</v>
      </c>
      <c r="BB158" s="194">
        <f>IF($G158="Non-Addict",1,0)</f>
        <v>0</v>
      </c>
      <c r="BC158" s="194">
        <f>IF($G158="Free Reg Certificate",1,0)</f>
        <v>0</v>
      </c>
      <c r="BD158" s="194">
        <f>IF($G158="Newcomer",1,0)</f>
        <v>0</v>
      </c>
      <c r="BE158" s="194">
        <f>IF($G158="Committee",1,0)</f>
        <v>0</v>
      </c>
      <c r="BF158" s="194">
        <f>IF($G158="Treatment",1,0)</f>
        <v>0</v>
      </c>
      <c r="BG158" s="194">
        <f>IF($G158="Meeting Sponsored",1,0)</f>
        <v>0</v>
      </c>
      <c r="BH158" s="194">
        <f>IF($G158="Programming",1,0)</f>
        <v>0</v>
      </c>
      <c r="BI158" s="194">
        <f>IF($G158="Hardship",1,0)</f>
        <v>0</v>
      </c>
      <c r="BJ158" s="194">
        <f>IF($G158="Refund",1,0)</f>
        <v>0</v>
      </c>
      <c r="BK158" s="194">
        <f>IF($G158="Vermilion Bucks",1,0)</f>
        <v>0</v>
      </c>
      <c r="BL158" s="194">
        <f>IF($G158="Other",1,0)</f>
        <v>0</v>
      </c>
      <c r="BM158" s="286"/>
      <c r="BN158" s="286"/>
      <c r="BO158" s="286">
        <f>SUM(AX158:BL158)</f>
        <v>1</v>
      </c>
      <c r="BP158" s="287">
        <f>SUM(R158:AW158)</f>
        <v>1</v>
      </c>
      <c r="BQ158" s="287">
        <f>+BO158+BP158</f>
        <v>2</v>
      </c>
    </row>
    <row r="159" spans="1:85" x14ac:dyDescent="0.2">
      <c r="A159" s="294" t="s">
        <v>537</v>
      </c>
      <c r="B159" s="283" t="s">
        <v>488</v>
      </c>
      <c r="C159" s="5">
        <v>239</v>
      </c>
      <c r="D159" s="6">
        <v>38086</v>
      </c>
      <c r="E159" s="284">
        <f>IF($D159 = 0,0,DATEDIF($D159,$D$7,"D"))</f>
        <v>6364</v>
      </c>
      <c r="F159" s="193">
        <f>((R159*$R$2)+(S159*$S$2)+(T159*$T$2)++(U159*$U$2)++(V159*$V$2)++(W159*$W$2)++(X159*$X$2)++(Y159*$Y$2)+(Z159*$Z$2)+(AA159*$AA$2)+(AB159*$AB$2)+(AC159*$AC$2)+(AD159*$AD$2)+(AE159*$AE$2)+(AF159*$AF$2)+(AG159*$AG$2)+(AH159*$AH$2)+(AI159*$AI$2)+(AJ159*$AJ$2)+(AK159*$AK$2)+(AL159*$AL$2)+(AM159*$AM$2)+(AN159*$AN$2)+(AO159*$AO$2)+(AP159*$AP$2)+(AQ159*$AQ$2)+(AR159*$AR$2)+(AS159*$AS$2)+(AT159*$AT$2)+(AU159*$AU$2)+(AV159*$AV$2)+(AW159*$AW$2))</f>
        <v>50</v>
      </c>
      <c r="G159" s="8" t="s">
        <v>539</v>
      </c>
      <c r="H159" s="9">
        <v>50</v>
      </c>
      <c r="I159" s="9"/>
      <c r="J159" s="9"/>
      <c r="K159" s="93">
        <f>+F159-I159+J159-H159</f>
        <v>0</v>
      </c>
      <c r="L159" s="64">
        <v>0</v>
      </c>
      <c r="M159" s="275">
        <f>+K159-L159</f>
        <v>0</v>
      </c>
      <c r="N159" s="275"/>
      <c r="O159" s="275"/>
      <c r="P159" s="253"/>
      <c r="Q159" s="293"/>
      <c r="R159" s="5">
        <v>1</v>
      </c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194">
        <f>IF($G159="Youth 0-3",1,0)</f>
        <v>0</v>
      </c>
      <c r="AY159" s="194">
        <f>IF($G159="Youth 4-11",1,0)</f>
        <v>0</v>
      </c>
      <c r="AZ159" s="194">
        <f>IF($G159="Youth 12-15",1,0)</f>
        <v>0</v>
      </c>
      <c r="BA159" s="194">
        <f>IF($G159="Addict",1,0)</f>
        <v>0</v>
      </c>
      <c r="BB159" s="194">
        <f>IF($G159="Non-Addict",1,0)</f>
        <v>0</v>
      </c>
      <c r="BC159" s="194">
        <f>IF($G159="Free Reg Certificate",1,0)</f>
        <v>0</v>
      </c>
      <c r="BD159" s="194">
        <f>IF($G159="Newcomer",1,0)</f>
        <v>0</v>
      </c>
      <c r="BE159" s="194">
        <f>IF($G159="Committee",1,0)</f>
        <v>0</v>
      </c>
      <c r="BF159" s="194">
        <f>IF($G159="Treatment",1,0)</f>
        <v>0</v>
      </c>
      <c r="BG159" s="194">
        <f>IF($G159="Meeting Sponsored",1,0)</f>
        <v>0</v>
      </c>
      <c r="BH159" s="194">
        <f>IF($G159="Programming",1,0)</f>
        <v>1</v>
      </c>
      <c r="BI159" s="194">
        <f>IF($G159="Hardship",1,0)</f>
        <v>0</v>
      </c>
      <c r="BJ159" s="194">
        <f>IF($G159="Refund",1,0)</f>
        <v>0</v>
      </c>
      <c r="BK159" s="194">
        <f>IF($G159="Vermilion Bucks",1,0)</f>
        <v>0</v>
      </c>
      <c r="BL159" s="194">
        <f>IF($G159="Other",1,0)</f>
        <v>0</v>
      </c>
      <c r="BM159" s="286"/>
      <c r="BN159" s="286"/>
      <c r="BO159" s="286">
        <f>SUM(AX159:BL159)</f>
        <v>1</v>
      </c>
      <c r="BP159" s="287">
        <f>SUM(R159:AW159)</f>
        <v>1</v>
      </c>
      <c r="BQ159" s="287">
        <f>+BO159+BP159</f>
        <v>2</v>
      </c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</row>
    <row r="160" spans="1:85" x14ac:dyDescent="0.2">
      <c r="A160" s="294" t="s">
        <v>507</v>
      </c>
      <c r="B160" s="283" t="s">
        <v>508</v>
      </c>
      <c r="C160" s="5">
        <v>73</v>
      </c>
      <c r="D160" s="6">
        <v>43879</v>
      </c>
      <c r="E160" s="284">
        <f>IF($D160 = 0,0,DATEDIF($D160,$D$7,"D"))</f>
        <v>571</v>
      </c>
      <c r="F160" s="193">
        <f>((R160*$R$2)+(S160*$S$2)+(T160*$T$2)++(U160*$U$2)++(V160*$V$2)++(W160*$W$2)++(X160*$X$2)++(Y160*$Y$2)+(Z160*$Z$2)+(AA160*$AA$2)+(AB160*$AB$2)+(AC160*$AC$2)+(AD160*$AD$2)+(AE160*$AE$2)+(AF160*$AF$2)+(AG160*$AG$2)+(AH160*$AH$2)+(AI160*$AI$2)+(AJ160*$AJ$2)+(AK160*$AK$2)+(AL160*$AL$2)+(AM160*$AM$2)+(AN160*$AN$2)+(AO160*$AO$2)+(AP160*$AP$2)+(AQ160*$AQ$2)+(AR160*$AR$2)+(AS160*$AS$2)+(AT160*$AT$2)+(AU160*$AU$2)+(AV160*$AV$2)+(AW160*$AW$2))</f>
        <v>50</v>
      </c>
      <c r="G160" s="8" t="s">
        <v>38</v>
      </c>
      <c r="H160" s="9"/>
      <c r="I160" s="9"/>
      <c r="J160" s="9"/>
      <c r="K160" s="93">
        <f>+F160-I160+J160-H160</f>
        <v>50</v>
      </c>
      <c r="L160" s="64">
        <v>50</v>
      </c>
      <c r="M160" s="275">
        <f>+K160-L160</f>
        <v>0</v>
      </c>
      <c r="N160" s="275"/>
      <c r="O160" s="275"/>
      <c r="P160" s="253"/>
      <c r="Q160" s="293"/>
      <c r="R160" s="5">
        <v>1</v>
      </c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194">
        <f>IF($G160="Youth 0-3",1,0)</f>
        <v>0</v>
      </c>
      <c r="AY160" s="194">
        <f>IF($G160="Youth 4-11",1,0)</f>
        <v>0</v>
      </c>
      <c r="AZ160" s="194">
        <f>IF($G160="Youth 12-15",1,0)</f>
        <v>0</v>
      </c>
      <c r="BA160" s="194">
        <f>IF($G160="Addict",1,0)</f>
        <v>1</v>
      </c>
      <c r="BB160" s="194">
        <f>IF($G160="Non-Addict",1,0)</f>
        <v>0</v>
      </c>
      <c r="BC160" s="194">
        <f>IF($G160="Free Reg Certificate",1,0)</f>
        <v>0</v>
      </c>
      <c r="BD160" s="194">
        <f>IF($G160="Newcomer",1,0)</f>
        <v>0</v>
      </c>
      <c r="BE160" s="194">
        <f>IF($G160="Committee",1,0)</f>
        <v>0</v>
      </c>
      <c r="BF160" s="194">
        <f>IF($G160="Treatment",1,0)</f>
        <v>0</v>
      </c>
      <c r="BG160" s="194">
        <f>IF($G160="Meeting Sponsored",1,0)</f>
        <v>0</v>
      </c>
      <c r="BH160" s="194">
        <f>IF($G160="Programming",1,0)</f>
        <v>0</v>
      </c>
      <c r="BI160" s="194">
        <f>IF($G160="Hardship",1,0)</f>
        <v>0</v>
      </c>
      <c r="BJ160" s="194">
        <f>IF($G160="Refund",1,0)</f>
        <v>0</v>
      </c>
      <c r="BK160" s="194">
        <f>IF($G160="Vermilion Bucks",1,0)</f>
        <v>0</v>
      </c>
      <c r="BL160" s="194">
        <f>IF($G160="Other",1,0)</f>
        <v>0</v>
      </c>
      <c r="BM160" s="286"/>
      <c r="BN160" s="286"/>
      <c r="BO160" s="286">
        <f>SUM(AX160:BL160)</f>
        <v>1</v>
      </c>
      <c r="BP160" s="287">
        <f>SUM(R160:AW160)</f>
        <v>1</v>
      </c>
      <c r="BQ160" s="287">
        <f>+BO160+BP160</f>
        <v>2</v>
      </c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</row>
    <row r="161" spans="1:85" x14ac:dyDescent="0.2">
      <c r="A161" s="294" t="s">
        <v>414</v>
      </c>
      <c r="B161" s="283" t="s">
        <v>415</v>
      </c>
      <c r="C161" s="5">
        <v>157</v>
      </c>
      <c r="D161" s="6">
        <v>37695</v>
      </c>
      <c r="E161" s="284">
        <f>IF($D161 = 0,0,DATEDIF($D161,$D$7,"D"))</f>
        <v>6755</v>
      </c>
      <c r="F161" s="193">
        <f>((R161*$R$2)+(S161*$S$2)+(T161*$T$2)++(U161*$U$2)++(V161*$V$2)++(W161*$W$2)++(X161*$X$2)++(Y161*$Y$2)+(Z161*$Z$2)+(AA161*$AA$2)+(AB161*$AB$2)+(AC161*$AC$2)+(AD161*$AD$2)+(AE161*$AE$2)+(AF161*$AF$2)+(AG161*$AG$2)+(AH161*$AH$2)+(AI161*$AI$2)+(AJ161*$AJ$2)+(AK161*$AK$2)+(AL161*$AL$2)+(AM161*$AM$2)+(AN161*$AN$2)+(AO161*$AO$2)+(AP161*$AP$2)+(AQ161*$AQ$2)+(AR161*$AR$2)+(AS161*$AS$2)+(AT161*$AT$2)+(AU161*$AU$2)+(AV161*$AV$2)+(AW161*$AW$2))</f>
        <v>125</v>
      </c>
      <c r="G161" s="8" t="s">
        <v>38</v>
      </c>
      <c r="H161" s="9"/>
      <c r="I161" s="9"/>
      <c r="J161" s="9"/>
      <c r="K161" s="93">
        <f>+F161-I161+J161-H161</f>
        <v>125</v>
      </c>
      <c r="L161" s="64">
        <v>125</v>
      </c>
      <c r="M161" s="275">
        <f>+K161-L161</f>
        <v>0</v>
      </c>
      <c r="N161" s="275"/>
      <c r="O161" s="275"/>
      <c r="P161" s="253"/>
      <c r="Q161" s="293"/>
      <c r="R161" s="5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>
        <v>1</v>
      </c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194">
        <f>IF($G161="Youth 0-3",1,0)</f>
        <v>0</v>
      </c>
      <c r="AY161" s="194">
        <f>IF($G161="Youth 4-11",1,0)</f>
        <v>0</v>
      </c>
      <c r="AZ161" s="194">
        <f>IF($G161="Youth 12-15",1,0)</f>
        <v>0</v>
      </c>
      <c r="BA161" s="194">
        <f>IF($G161="Addict",1,0)</f>
        <v>1</v>
      </c>
      <c r="BB161" s="194">
        <f>IF($G161="Non-Addict",1,0)</f>
        <v>0</v>
      </c>
      <c r="BC161" s="194">
        <f>IF($G161="Free Reg Certificate",1,0)</f>
        <v>0</v>
      </c>
      <c r="BD161" s="194">
        <f>IF($G161="Newcomer",1,0)</f>
        <v>0</v>
      </c>
      <c r="BE161" s="194">
        <f>IF($G161="Committee",1,0)</f>
        <v>0</v>
      </c>
      <c r="BF161" s="194">
        <f>IF($G161="Treatment",1,0)</f>
        <v>0</v>
      </c>
      <c r="BG161" s="194">
        <f>IF($G161="Meeting Sponsored",1,0)</f>
        <v>0</v>
      </c>
      <c r="BH161" s="194">
        <f>IF($G161="Programming",1,0)</f>
        <v>0</v>
      </c>
      <c r="BI161" s="194">
        <f>IF($G161="Hardship",1,0)</f>
        <v>0</v>
      </c>
      <c r="BJ161" s="194">
        <f>IF($G161="Refund",1,0)</f>
        <v>0</v>
      </c>
      <c r="BK161" s="194">
        <f>IF($G161="Vermilion Bucks",1,0)</f>
        <v>0</v>
      </c>
      <c r="BL161" s="194">
        <f>IF($G161="Other",1,0)</f>
        <v>0</v>
      </c>
      <c r="BM161" s="286"/>
      <c r="BN161" s="286"/>
      <c r="BO161" s="286">
        <f>SUM(AX161:BL161)</f>
        <v>1</v>
      </c>
      <c r="BP161" s="287">
        <f>SUM(R161:AW161)</f>
        <v>1</v>
      </c>
      <c r="BQ161" s="287">
        <f>+BO161+BP161</f>
        <v>2</v>
      </c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</row>
    <row r="162" spans="1:85" x14ac:dyDescent="0.2">
      <c r="A162" s="294" t="s">
        <v>483</v>
      </c>
      <c r="B162" s="283" t="s">
        <v>484</v>
      </c>
      <c r="C162" s="5">
        <v>40</v>
      </c>
      <c r="D162" s="6">
        <v>37145</v>
      </c>
      <c r="E162" s="284">
        <f>IF($D162 = 0,0,DATEDIF($D162,$D$7,"D"))</f>
        <v>7305</v>
      </c>
      <c r="F162" s="193">
        <f>((R162*$R$2)+(S162*$S$2)+(T162*$T$2)++(U162*$U$2)++(V162*$V$2)++(W162*$W$2)++(X162*$X$2)++(Y162*$Y$2)+(Z162*$Z$2)+(AA162*$AA$2)+(AB162*$AB$2)+(AC162*$AC$2)+(AD162*$AD$2)+(AE162*$AE$2)+(AF162*$AF$2)+(AG162*$AG$2)+(AH162*$AH$2)+(AI162*$AI$2)+(AJ162*$AJ$2)+(AK162*$AK$2)+(AL162*$AL$2)+(AM162*$AM$2)+(AN162*$AN$2)+(AO162*$AO$2)+(AP162*$AP$2)+(AQ162*$AQ$2)+(AR162*$AR$2)+(AS162*$AS$2)+(AT162*$AT$2)+(AU162*$AU$2)+(AV162*$AV$2)+(AW162*$AW$2))</f>
        <v>50</v>
      </c>
      <c r="G162" s="8" t="s">
        <v>38</v>
      </c>
      <c r="H162" s="9"/>
      <c r="I162" s="9"/>
      <c r="J162" s="9">
        <v>10</v>
      </c>
      <c r="K162" s="93">
        <f>+F162-I162+J162-H162</f>
        <v>60</v>
      </c>
      <c r="L162" s="64">
        <v>60</v>
      </c>
      <c r="M162" s="275">
        <f>+K162-L162</f>
        <v>0</v>
      </c>
      <c r="N162" s="275"/>
      <c r="O162" s="275"/>
      <c r="P162" s="253"/>
      <c r="Q162" s="293"/>
      <c r="R162" s="5">
        <v>1</v>
      </c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194">
        <f>IF($G162="Youth 0-3",1,0)</f>
        <v>0</v>
      </c>
      <c r="AY162" s="194">
        <f>IF($G162="Youth 4-11",1,0)</f>
        <v>0</v>
      </c>
      <c r="AZ162" s="194">
        <f>IF($G162="Youth 12-15",1,0)</f>
        <v>0</v>
      </c>
      <c r="BA162" s="194">
        <f>IF($G162="Addict",1,0)</f>
        <v>1</v>
      </c>
      <c r="BB162" s="194">
        <f>IF($G162="Non-Addict",1,0)</f>
        <v>0</v>
      </c>
      <c r="BC162" s="194">
        <f>IF($G162="Free Reg Certificate",1,0)</f>
        <v>0</v>
      </c>
      <c r="BD162" s="194">
        <f>IF($G162="Newcomer",1,0)</f>
        <v>0</v>
      </c>
      <c r="BE162" s="194">
        <f>IF($G162="Committee",1,0)</f>
        <v>0</v>
      </c>
      <c r="BF162" s="194">
        <f>IF($G162="Treatment",1,0)</f>
        <v>0</v>
      </c>
      <c r="BG162" s="194">
        <f>IF($G162="Meeting Sponsored",1,0)</f>
        <v>0</v>
      </c>
      <c r="BH162" s="194">
        <f>IF($G162="Programming",1,0)</f>
        <v>0</v>
      </c>
      <c r="BI162" s="194">
        <f>IF($G162="Hardship",1,0)</f>
        <v>0</v>
      </c>
      <c r="BJ162" s="194">
        <f>IF($G162="Refund",1,0)</f>
        <v>0</v>
      </c>
      <c r="BK162" s="194">
        <f>IF($G162="Vermilion Bucks",1,0)</f>
        <v>0</v>
      </c>
      <c r="BL162" s="194">
        <f>IF($G162="Other",1,0)</f>
        <v>0</v>
      </c>
      <c r="BM162" s="286"/>
      <c r="BN162" s="286"/>
      <c r="BO162" s="286">
        <f>SUM(AX162:BL162)</f>
        <v>1</v>
      </c>
      <c r="BP162" s="287">
        <f>SUM(R162:AW162)</f>
        <v>1</v>
      </c>
      <c r="BQ162" s="287">
        <f>+BO162+BP162</f>
        <v>2</v>
      </c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</row>
    <row r="163" spans="1:85" x14ac:dyDescent="0.2">
      <c r="A163" s="294" t="s">
        <v>368</v>
      </c>
      <c r="B163" s="177"/>
      <c r="C163" s="5">
        <v>100</v>
      </c>
      <c r="D163" s="6">
        <v>40270</v>
      </c>
      <c r="E163" s="284">
        <f>IF($D163 = 0,0,DATEDIF($D163,$D$7,"D"))</f>
        <v>4180</v>
      </c>
      <c r="F163" s="193">
        <f>((R163*$R$2)+(S163*$S$2)+(T163*$T$2)++(U163*$U$2)++(V163*$V$2)++(W163*$W$2)++(X163*$X$2)++(Y163*$Y$2)+(Z163*$Z$2)+(AA163*$AA$2)+(AB163*$AB$2)+(AC163*$AC$2)+(AD163*$AD$2)+(AE163*$AE$2)+(AF163*$AF$2)+(AG163*$AG$2)+(AH163*$AH$2)+(AI163*$AI$2)+(AJ163*$AJ$2)+(AK163*$AK$2)+(AL163*$AL$2)+(AM163*$AM$2)+(AN163*$AN$2)+(AO163*$AO$2)+(AP163*$AP$2)+(AQ163*$AQ$2)+(AR163*$AR$2)+(AS163*$AS$2)+(AT163*$AT$2)+(AU163*$AU$2)+(AV163*$AV$2)+(AW163*$AW$2))</f>
        <v>125</v>
      </c>
      <c r="G163" s="8" t="s">
        <v>538</v>
      </c>
      <c r="H163" s="9">
        <v>75</v>
      </c>
      <c r="I163" s="9"/>
      <c r="J163" s="9">
        <v>50</v>
      </c>
      <c r="K163" s="93">
        <f>+F163-I163+J163-H163</f>
        <v>100</v>
      </c>
      <c r="L163" s="64">
        <v>100</v>
      </c>
      <c r="M163" s="275">
        <f>+K163-L163</f>
        <v>0</v>
      </c>
      <c r="N163" s="275"/>
      <c r="O163" s="275"/>
      <c r="P163" s="253"/>
      <c r="Q163" s="293"/>
      <c r="R163" s="5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>
        <v>1</v>
      </c>
      <c r="AO163" s="8"/>
      <c r="AP163" s="8"/>
      <c r="AQ163" s="8"/>
      <c r="AR163" s="8"/>
      <c r="AS163" s="8"/>
      <c r="AT163" s="8"/>
      <c r="AU163" s="8"/>
      <c r="AV163" s="8"/>
      <c r="AW163" s="8"/>
      <c r="AX163" s="194">
        <f>IF($G163="Youth 0-3",1,0)</f>
        <v>0</v>
      </c>
      <c r="AY163" s="194">
        <f>IF($G163="Youth 4-11",1,0)</f>
        <v>0</v>
      </c>
      <c r="AZ163" s="194">
        <f>IF($G163="Youth 12-15",1,0)</f>
        <v>0</v>
      </c>
      <c r="BA163" s="194">
        <f>IF($G163="Addict",1,0)</f>
        <v>0</v>
      </c>
      <c r="BB163" s="194">
        <f>IF($G163="Non-Addict",1,0)</f>
        <v>0</v>
      </c>
      <c r="BC163" s="194">
        <f>IF($G163="Free Reg Certificate",1,0)</f>
        <v>0</v>
      </c>
      <c r="BD163" s="194">
        <f>IF($G163="Newcomer",1,0)</f>
        <v>0</v>
      </c>
      <c r="BE163" s="194">
        <f>IF($G163="Committee",1,0)</f>
        <v>0</v>
      </c>
      <c r="BF163" s="194">
        <f>IF($G163="Treatment",1,0)</f>
        <v>0</v>
      </c>
      <c r="BG163" s="194">
        <f>IF($G163="Meeting Sponsored",1,0)</f>
        <v>0</v>
      </c>
      <c r="BH163" s="194">
        <f>IF($G163="Programming",1,0)</f>
        <v>0</v>
      </c>
      <c r="BI163" s="194">
        <f>IF($G163="Hardship",1,0)</f>
        <v>0</v>
      </c>
      <c r="BJ163" s="194">
        <f>IF($G163="Refund",1,0)</f>
        <v>0</v>
      </c>
      <c r="BK163" s="194">
        <f>IF($G163="Vermilion Bucks",1,0)</f>
        <v>1</v>
      </c>
      <c r="BL163" s="194">
        <f>IF($G163="Other",1,0)</f>
        <v>0</v>
      </c>
      <c r="BM163" s="286"/>
      <c r="BN163" s="286"/>
      <c r="BO163" s="286">
        <f>SUM(AX163:BL163)</f>
        <v>1</v>
      </c>
      <c r="BP163" s="287">
        <f>SUM(R163:AW163)</f>
        <v>1</v>
      </c>
      <c r="BQ163" s="287">
        <f>+BO163+BP163</f>
        <v>2</v>
      </c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</row>
    <row r="164" spans="1:85" x14ac:dyDescent="0.2">
      <c r="A164" s="294" t="s">
        <v>319</v>
      </c>
      <c r="B164" s="177"/>
      <c r="C164" s="5">
        <v>207</v>
      </c>
      <c r="D164" s="6">
        <v>44385</v>
      </c>
      <c r="E164" s="284">
        <f>IF($D164 = 0,0,DATEDIF($D164,$D$7,"D"))</f>
        <v>65</v>
      </c>
      <c r="F164" s="193">
        <f>((R164*$R$2)+(S164*$S$2)+(T164*$T$2)++(U164*$U$2)++(V164*$V$2)++(W164*$W$2)++(X164*$X$2)++(Y164*$Y$2)+(Z164*$Z$2)+(AA164*$AA$2)+(AB164*$AB$2)+(AC164*$AC$2)+(AD164*$AD$2)+(AE164*$AE$2)+(AF164*$AF$2)+(AG164*$AG$2)+(AH164*$AH$2)+(AI164*$AI$2)+(AJ164*$AJ$2)+(AK164*$AK$2)+(AL164*$AL$2)+(AM164*$AM$2)+(AN164*$AN$2)+(AO164*$AO$2)+(AP164*$AP$2)+(AQ164*$AQ$2)+(AR164*$AR$2)+(AS164*$AS$2)+(AT164*$AT$2)+(AU164*$AU$2)+(AV164*$AV$2)+(AW164*$AW$2))</f>
        <v>125</v>
      </c>
      <c r="G164" s="8" t="s">
        <v>172</v>
      </c>
      <c r="H164" s="9">
        <v>65</v>
      </c>
      <c r="I164" s="9"/>
      <c r="J164" s="9"/>
      <c r="K164" s="93">
        <f>+F164-I164+J164-H164</f>
        <v>60</v>
      </c>
      <c r="L164" s="64">
        <v>60</v>
      </c>
      <c r="M164" s="275">
        <f>+K164-L164</f>
        <v>0</v>
      </c>
      <c r="N164" s="275"/>
      <c r="O164" s="275"/>
      <c r="P164" s="253"/>
      <c r="Q164" s="293"/>
      <c r="R164" s="5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>
        <v>1</v>
      </c>
      <c r="AQ164" s="8"/>
      <c r="AR164" s="8"/>
      <c r="AS164" s="8"/>
      <c r="AT164" s="8"/>
      <c r="AU164" s="8"/>
      <c r="AV164" s="8"/>
      <c r="AW164" s="8"/>
      <c r="AX164" s="194">
        <f>IF($G164="Youth 0-3",1,0)</f>
        <v>0</v>
      </c>
      <c r="AY164" s="194">
        <f>IF($G164="Youth 4-11",1,0)</f>
        <v>0</v>
      </c>
      <c r="AZ164" s="194">
        <f>IF($G164="Youth 12-15",1,0)</f>
        <v>0</v>
      </c>
      <c r="BA164" s="194">
        <f>IF($G164="Addict",1,0)</f>
        <v>0</v>
      </c>
      <c r="BB164" s="194">
        <f>IF($G164="Non-Addict",1,0)</f>
        <v>0</v>
      </c>
      <c r="BC164" s="194">
        <f>IF($G164="Free Reg Certificate",1,0)</f>
        <v>0</v>
      </c>
      <c r="BD164" s="194">
        <f>IF($G164="Newcomer",1,0)</f>
        <v>0</v>
      </c>
      <c r="BE164" s="194">
        <f>IF($G164="Committee",1,0)</f>
        <v>0</v>
      </c>
      <c r="BF164" s="194">
        <f>IF($G164="Treatment",1,0)</f>
        <v>1</v>
      </c>
      <c r="BG164" s="194">
        <f>IF($G164="Meeting Sponsored",1,0)</f>
        <v>0</v>
      </c>
      <c r="BH164" s="194">
        <f>IF($G164="Programming",1,0)</f>
        <v>0</v>
      </c>
      <c r="BI164" s="194">
        <f>IF($G164="Hardship",1,0)</f>
        <v>0</v>
      </c>
      <c r="BJ164" s="194">
        <f>IF($G164="Refund",1,0)</f>
        <v>0</v>
      </c>
      <c r="BK164" s="194">
        <f>IF($G164="Vermilion Bucks",1,0)</f>
        <v>0</v>
      </c>
      <c r="BL164" s="194">
        <f>IF($G164="Other",1,0)</f>
        <v>0</v>
      </c>
      <c r="BM164" s="286"/>
      <c r="BN164" s="286"/>
      <c r="BO164" s="286">
        <f>SUM(AX164:BL164)</f>
        <v>1</v>
      </c>
      <c r="BP164" s="287">
        <f>SUM(R164:AW164)</f>
        <v>1</v>
      </c>
      <c r="BQ164" s="287">
        <f>+BO164+BP164</f>
        <v>2</v>
      </c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</row>
    <row r="165" spans="1:85" x14ac:dyDescent="0.2">
      <c r="A165" s="294" t="s">
        <v>389</v>
      </c>
      <c r="B165" s="283" t="s">
        <v>390</v>
      </c>
      <c r="C165" s="5">
        <v>30</v>
      </c>
      <c r="D165" s="6">
        <v>36175</v>
      </c>
      <c r="E165" s="284">
        <f>IF($D165 = 0,0,DATEDIF($D165,$D$7,"D"))</f>
        <v>8275</v>
      </c>
      <c r="F165" s="193">
        <f>((R165*$R$2)+(S165*$S$2)+(T165*$T$2)++(U165*$U$2)++(V165*$V$2)++(W165*$W$2)++(X165*$X$2)++(Y165*$Y$2)+(Z165*$Z$2)+(AA165*$AA$2)+(AB165*$AB$2)+(AC165*$AC$2)+(AD165*$AD$2)+(AE165*$AE$2)+(AF165*$AF$2)+(AG165*$AG$2)+(AH165*$AH$2)+(AI165*$AI$2)+(AJ165*$AJ$2)+(AK165*$AK$2)+(AL165*$AL$2)+(AM165*$AM$2)+(AN165*$AN$2)+(AO165*$AO$2)+(AP165*$AP$2)+(AQ165*$AQ$2)+(AR165*$AR$2)+(AS165*$AS$2)+(AT165*$AT$2)+(AU165*$AU$2)+(AV165*$AV$2)+(AW165*$AW$2))</f>
        <v>50</v>
      </c>
      <c r="G165" s="8" t="s">
        <v>6</v>
      </c>
      <c r="H165" s="9"/>
      <c r="I165" s="9"/>
      <c r="J165" s="9"/>
      <c r="K165" s="93">
        <f>+F165-I165+J165-H165</f>
        <v>50</v>
      </c>
      <c r="L165" s="64">
        <v>50</v>
      </c>
      <c r="M165" s="275">
        <f>+K165-L165</f>
        <v>0</v>
      </c>
      <c r="N165" s="275"/>
      <c r="O165" s="275"/>
      <c r="P165" s="253"/>
      <c r="Q165" s="293"/>
      <c r="R165" s="5">
        <v>1</v>
      </c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194">
        <f>IF($G165="Youth 0-3",1,0)</f>
        <v>0</v>
      </c>
      <c r="AY165" s="194">
        <f>IF($G165="Youth 4-11",1,0)</f>
        <v>0</v>
      </c>
      <c r="AZ165" s="194">
        <f>IF($G165="Youth 12-15",1,0)</f>
        <v>0</v>
      </c>
      <c r="BA165" s="194">
        <f>IF($G165="Addict",1,0)</f>
        <v>0</v>
      </c>
      <c r="BB165" s="194">
        <f>IF($G165="Non-Addict",1,0)</f>
        <v>0</v>
      </c>
      <c r="BC165" s="194">
        <f>IF($G165="Free Reg Certificate",1,0)</f>
        <v>0</v>
      </c>
      <c r="BD165" s="194">
        <f>IF($G165="Newcomer",1,0)</f>
        <v>0</v>
      </c>
      <c r="BE165" s="194">
        <f>IF($G165="Committee",1,0)</f>
        <v>1</v>
      </c>
      <c r="BF165" s="194">
        <f>IF($G165="Treatment",1,0)</f>
        <v>0</v>
      </c>
      <c r="BG165" s="194">
        <f>IF($G165="Meeting Sponsored",1,0)</f>
        <v>0</v>
      </c>
      <c r="BH165" s="194">
        <f>IF($G165="Programming",1,0)</f>
        <v>0</v>
      </c>
      <c r="BI165" s="194">
        <f>IF($G165="Hardship",1,0)</f>
        <v>0</v>
      </c>
      <c r="BJ165" s="194">
        <f>IF($G165="Refund",1,0)</f>
        <v>0</v>
      </c>
      <c r="BK165" s="194">
        <f>IF($G165="Vermilion Bucks",1,0)</f>
        <v>0</v>
      </c>
      <c r="BL165" s="194">
        <f>IF($G165="Other",1,0)</f>
        <v>0</v>
      </c>
      <c r="BM165" s="286"/>
      <c r="BN165" s="286"/>
      <c r="BO165" s="286">
        <f>SUM(AX165:BL165)</f>
        <v>1</v>
      </c>
      <c r="BP165" s="287">
        <f>SUM(R165:AW165)</f>
        <v>1</v>
      </c>
      <c r="BQ165" s="287">
        <f>+BO165+BP165</f>
        <v>2</v>
      </c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</row>
    <row r="166" spans="1:85" x14ac:dyDescent="0.2">
      <c r="A166" s="294" t="s">
        <v>367</v>
      </c>
      <c r="B166" s="283" t="s">
        <v>463</v>
      </c>
      <c r="C166" s="5">
        <v>81</v>
      </c>
      <c r="D166" s="6">
        <v>41250</v>
      </c>
      <c r="E166" s="284">
        <f>IF($D166 = 0,0,DATEDIF($D166,$D$7,"D"))</f>
        <v>3200</v>
      </c>
      <c r="F166" s="193">
        <f>((R166*$R$2)+(S166*$S$2)+(T166*$T$2)++(U166*$U$2)++(V166*$V$2)++(W166*$W$2)++(X166*$X$2)++(Y166*$Y$2)+(Z166*$Z$2)+(AA166*$AA$2)+(AB166*$AB$2)+(AC166*$AC$2)+(AD166*$AD$2)+(AE166*$AE$2)+(AF166*$AF$2)+(AG166*$AG$2)+(AH166*$AH$2)+(AI166*$AI$2)+(AJ166*$AJ$2)+(AK166*$AK$2)+(AL166*$AL$2)+(AM166*$AM$2)+(AN166*$AN$2)+(AO166*$AO$2)+(AP166*$AP$2)+(AQ166*$AQ$2)+(AR166*$AR$2)+(AS166*$AS$2)+(AT166*$AT$2)+(AU166*$AU$2)+(AV166*$AV$2)+(AW166*$AW$2))</f>
        <v>125</v>
      </c>
      <c r="G166" s="8" t="s">
        <v>6</v>
      </c>
      <c r="H166" s="9">
        <v>25</v>
      </c>
      <c r="I166" s="9"/>
      <c r="J166" s="9">
        <v>25</v>
      </c>
      <c r="K166" s="93">
        <f>+F166-I166+J166-H166</f>
        <v>125</v>
      </c>
      <c r="L166" s="64">
        <v>125</v>
      </c>
      <c r="M166" s="275">
        <f>+K166-L166</f>
        <v>0</v>
      </c>
      <c r="N166" s="275"/>
      <c r="O166" s="275"/>
      <c r="P166" s="253"/>
      <c r="Q166" s="293"/>
      <c r="R166" s="5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>
        <v>1</v>
      </c>
      <c r="AO166" s="8"/>
      <c r="AP166" s="8"/>
      <c r="AQ166" s="8"/>
      <c r="AR166" s="8"/>
      <c r="AS166" s="8"/>
      <c r="AT166" s="8"/>
      <c r="AU166" s="8"/>
      <c r="AV166" s="8"/>
      <c r="AW166" s="8"/>
      <c r="AX166" s="194">
        <f>IF($G166="Youth 0-3",1,0)</f>
        <v>0</v>
      </c>
      <c r="AY166" s="194">
        <f>IF($G166="Youth 4-11",1,0)</f>
        <v>0</v>
      </c>
      <c r="AZ166" s="194">
        <f>IF($G166="Youth 12-15",1,0)</f>
        <v>0</v>
      </c>
      <c r="BA166" s="194">
        <f>IF($G166="Addict",1,0)</f>
        <v>0</v>
      </c>
      <c r="BB166" s="194">
        <f>IF($G166="Non-Addict",1,0)</f>
        <v>0</v>
      </c>
      <c r="BC166" s="194">
        <f>IF($G166="Free Reg Certificate",1,0)</f>
        <v>0</v>
      </c>
      <c r="BD166" s="194">
        <f>IF($G166="Newcomer",1,0)</f>
        <v>0</v>
      </c>
      <c r="BE166" s="194">
        <f>IF($G166="Committee",1,0)</f>
        <v>1</v>
      </c>
      <c r="BF166" s="194">
        <f>IF($G166="Treatment",1,0)</f>
        <v>0</v>
      </c>
      <c r="BG166" s="194">
        <f>IF($G166="Meeting Sponsored",1,0)</f>
        <v>0</v>
      </c>
      <c r="BH166" s="194">
        <f>IF($G166="Programming",1,0)</f>
        <v>0</v>
      </c>
      <c r="BI166" s="194">
        <f>IF($G166="Hardship",1,0)</f>
        <v>0</v>
      </c>
      <c r="BJ166" s="194">
        <f>IF($G166="Refund",1,0)</f>
        <v>0</v>
      </c>
      <c r="BK166" s="194">
        <f>IF($G166="Vermilion Bucks",1,0)</f>
        <v>0</v>
      </c>
      <c r="BL166" s="194">
        <f>IF($G166="Other",1,0)</f>
        <v>0</v>
      </c>
      <c r="BM166" s="286"/>
      <c r="BN166" s="286"/>
      <c r="BO166" s="286">
        <f>SUM(AX166:BL166)</f>
        <v>1</v>
      </c>
      <c r="BP166" s="287">
        <f>SUM(R166:AW166)</f>
        <v>1</v>
      </c>
      <c r="BQ166" s="287">
        <f>+BO166+BP166</f>
        <v>2</v>
      </c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</row>
    <row r="167" spans="1:85" x14ac:dyDescent="0.2">
      <c r="A167" s="294" t="s">
        <v>447</v>
      </c>
      <c r="B167" s="283" t="s">
        <v>448</v>
      </c>
      <c r="C167" s="5">
        <v>237</v>
      </c>
      <c r="D167" s="6">
        <v>44347</v>
      </c>
      <c r="E167" s="284">
        <f>IF($D167 = 0,0,DATEDIF($D167,$D$7,"D"))</f>
        <v>103</v>
      </c>
      <c r="F167" s="193">
        <f>((R167*$R$2)+(S167*$S$2)+(T167*$T$2)++(U167*$U$2)++(V167*$V$2)++(W167*$W$2)++(X167*$X$2)++(Y167*$Y$2)+(Z167*$Z$2)+(AA167*$AA$2)+(AB167*$AB$2)+(AC167*$AC$2)+(AD167*$AD$2)+(AE167*$AE$2)+(AF167*$AF$2)+(AG167*$AG$2)+(AH167*$AH$2)+(AI167*$AI$2)+(AJ167*$AJ$2)+(AK167*$AK$2)+(AL167*$AL$2)+(AM167*$AM$2)+(AN167*$AN$2)+(AO167*$AO$2)+(AP167*$AP$2)+(AQ167*$AQ$2)+(AR167*$AR$2)+(AS167*$AS$2)+(AT167*$AT$2)+(AU167*$AU$2)+(AV167*$AV$2)+(AW167*$AW$2))</f>
        <v>125</v>
      </c>
      <c r="G167" s="8" t="s">
        <v>94</v>
      </c>
      <c r="H167" s="9">
        <v>125</v>
      </c>
      <c r="I167" s="9"/>
      <c r="J167" s="9"/>
      <c r="K167" s="93">
        <f>+F167-I167+J167-H167</f>
        <v>0</v>
      </c>
      <c r="L167" s="64">
        <v>0</v>
      </c>
      <c r="M167" s="275">
        <f>+K167-L167</f>
        <v>0</v>
      </c>
      <c r="N167" s="275"/>
      <c r="O167" s="275"/>
      <c r="P167" s="253"/>
      <c r="Q167" s="293"/>
      <c r="R167" s="5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>
        <v>1</v>
      </c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194">
        <f>IF($G167="Youth 0-3",1,0)</f>
        <v>0</v>
      </c>
      <c r="AY167" s="194">
        <f>IF($G167="Youth 4-11",1,0)</f>
        <v>0</v>
      </c>
      <c r="AZ167" s="194">
        <f>IF($G167="Youth 12-15",1,0)</f>
        <v>0</v>
      </c>
      <c r="BA167" s="194">
        <f>IF($G167="Addict",1,0)</f>
        <v>0</v>
      </c>
      <c r="BB167" s="194">
        <f>IF($G167="Non-Addict",1,0)</f>
        <v>0</v>
      </c>
      <c r="BC167" s="194">
        <f>IF($G167="Free Reg Certificate",1,0)</f>
        <v>0</v>
      </c>
      <c r="BD167" s="194">
        <f>IF($G167="Newcomer",1,0)</f>
        <v>0</v>
      </c>
      <c r="BE167" s="194">
        <f>IF($G167="Committee",1,0)</f>
        <v>0</v>
      </c>
      <c r="BF167" s="194">
        <f>IF($G167="Treatment",1,0)</f>
        <v>0</v>
      </c>
      <c r="BG167" s="194">
        <f>IF($G167="Meeting Sponsored",1,0)</f>
        <v>0</v>
      </c>
      <c r="BH167" s="194">
        <f>IF($G167="Programming",1,0)</f>
        <v>0</v>
      </c>
      <c r="BI167" s="194">
        <f>IF($G167="Hardship",1,0)</f>
        <v>1</v>
      </c>
      <c r="BJ167" s="194">
        <f>IF($G167="Refund",1,0)</f>
        <v>0</v>
      </c>
      <c r="BK167" s="194">
        <f>IF($G167="Vermilion Bucks",1,0)</f>
        <v>0</v>
      </c>
      <c r="BL167" s="194">
        <f>IF($G167="Other",1,0)</f>
        <v>0</v>
      </c>
      <c r="BM167" s="286"/>
      <c r="BN167" s="286"/>
      <c r="BO167" s="286">
        <f>SUM(AX167:BL167)</f>
        <v>1</v>
      </c>
      <c r="BP167" s="287">
        <f>SUM(R167:AW167)</f>
        <v>1</v>
      </c>
      <c r="BQ167" s="287">
        <f>+BO167+BP167</f>
        <v>2</v>
      </c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</row>
    <row r="168" spans="1:85" x14ac:dyDescent="0.2">
      <c r="A168" s="294" t="s">
        <v>509</v>
      </c>
      <c r="B168" s="177"/>
      <c r="C168" s="5">
        <v>100</v>
      </c>
      <c r="D168" s="6">
        <v>43001</v>
      </c>
      <c r="E168" s="284">
        <f>IF($D168 = 0,0,DATEDIF($D168,$D$7,"D"))</f>
        <v>1449</v>
      </c>
      <c r="F168" s="193">
        <f>((R168*$R$2)+(S168*$S$2)+(T168*$T$2)++(U168*$U$2)++(V168*$V$2)++(W168*$W$2)++(X168*$X$2)++(Y168*$Y$2)+(Z168*$Z$2)+(AA168*$AA$2)+(AB168*$AB$2)+(AC168*$AC$2)+(AD168*$AD$2)+(AE168*$AE$2)+(AF168*$AF$2)+(AG168*$AG$2)+(AH168*$AH$2)+(AI168*$AI$2)+(AJ168*$AJ$2)+(AK168*$AK$2)+(AL168*$AL$2)+(AM168*$AM$2)+(AN168*$AN$2)+(AO168*$AO$2)+(AP168*$AP$2)+(AQ168*$AQ$2)+(AR168*$AR$2)+(AS168*$AS$2)+(AT168*$AT$2)+(AU168*$AU$2)+(AV168*$AV$2)+(AW168*$AW$2))</f>
        <v>50</v>
      </c>
      <c r="G168" s="8" t="s">
        <v>38</v>
      </c>
      <c r="H168" s="9"/>
      <c r="I168" s="9"/>
      <c r="J168" s="9"/>
      <c r="K168" s="93">
        <f>+F168-I168+J168-H168</f>
        <v>50</v>
      </c>
      <c r="L168" s="64">
        <v>50</v>
      </c>
      <c r="M168" s="275">
        <f>+K168-L168</f>
        <v>0</v>
      </c>
      <c r="N168" s="275"/>
      <c r="O168" s="275"/>
      <c r="P168" s="253"/>
      <c r="Q168" s="293"/>
      <c r="R168" s="5">
        <v>1</v>
      </c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194">
        <f>IF($G168="Youth 0-3",1,0)</f>
        <v>0</v>
      </c>
      <c r="AY168" s="194">
        <f>IF($G168="Youth 4-11",1,0)</f>
        <v>0</v>
      </c>
      <c r="AZ168" s="194">
        <f>IF($G168="Youth 12-15",1,0)</f>
        <v>0</v>
      </c>
      <c r="BA168" s="194">
        <f>IF($G168="Addict",1,0)</f>
        <v>1</v>
      </c>
      <c r="BB168" s="194">
        <f>IF($G168="Non-Addict",1,0)</f>
        <v>0</v>
      </c>
      <c r="BC168" s="194">
        <f>IF($G168="Free Reg Certificate",1,0)</f>
        <v>0</v>
      </c>
      <c r="BD168" s="194">
        <f>IF($G168="Newcomer",1,0)</f>
        <v>0</v>
      </c>
      <c r="BE168" s="194">
        <f>IF($G168="Committee",1,0)</f>
        <v>0</v>
      </c>
      <c r="BF168" s="194">
        <f>IF($G168="Treatment",1,0)</f>
        <v>0</v>
      </c>
      <c r="BG168" s="194">
        <f>IF($G168="Meeting Sponsored",1,0)</f>
        <v>0</v>
      </c>
      <c r="BH168" s="194">
        <f>IF($G168="Programming",1,0)</f>
        <v>0</v>
      </c>
      <c r="BI168" s="194">
        <f>IF($G168="Hardship",1,0)</f>
        <v>0</v>
      </c>
      <c r="BJ168" s="194">
        <f>IF($G168="Refund",1,0)</f>
        <v>0</v>
      </c>
      <c r="BK168" s="194">
        <f>IF($G168="Vermilion Bucks",1,0)</f>
        <v>0</v>
      </c>
      <c r="BL168" s="194">
        <f>IF($G168="Other",1,0)</f>
        <v>0</v>
      </c>
      <c r="BM168" s="286"/>
      <c r="BN168" s="286"/>
      <c r="BO168" s="286">
        <f>SUM(AX168:BL168)</f>
        <v>1</v>
      </c>
      <c r="BP168" s="287">
        <f>SUM(R168:AW168)</f>
        <v>1</v>
      </c>
      <c r="BQ168" s="287">
        <f>+BO168+BP168</f>
        <v>2</v>
      </c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</row>
    <row r="169" spans="1:85" x14ac:dyDescent="0.2">
      <c r="A169" s="294" t="s">
        <v>509</v>
      </c>
      <c r="B169" s="177"/>
      <c r="C169" s="5"/>
      <c r="D169" s="6"/>
      <c r="E169" s="284">
        <f>IF($D169 = 0,0,DATEDIF($D169,$D$7,"D"))</f>
        <v>0</v>
      </c>
      <c r="F169" s="193">
        <f>((R169*$R$2)+(S169*$S$2)+(T169*$T$2)++(U169*$U$2)++(V169*$V$2)++(W169*$W$2)++(X169*$X$2)++(Y169*$Y$2)+(Z169*$Z$2)+(AA169*$AA$2)+(AB169*$AB$2)+(AC169*$AC$2)+(AD169*$AD$2)+(AE169*$AE$2)+(AF169*$AF$2)+(AG169*$AG$2)+(AH169*$AH$2)+(AI169*$AI$2)+(AJ169*$AJ$2)+(AK169*$AK$2)+(AL169*$AL$2)+(AM169*$AM$2)+(AN169*$AN$2)+(AO169*$AO$2)+(AP169*$AP$2)+(AQ169*$AQ$2)+(AR169*$AR$2)+(AS169*$AS$2)+(AT169*$AT$2)+(AU169*$AU$2)+(AV169*$AV$2)+(AW169*$AW$2))</f>
        <v>50</v>
      </c>
      <c r="G169" s="8" t="s">
        <v>97</v>
      </c>
      <c r="H169" s="9"/>
      <c r="I169" s="9">
        <v>25</v>
      </c>
      <c r="J169" s="9"/>
      <c r="K169" s="93">
        <f>+F169-I169+J169-H169</f>
        <v>25</v>
      </c>
      <c r="L169" s="64">
        <v>25</v>
      </c>
      <c r="M169" s="275">
        <f>+K169-L169</f>
        <v>0</v>
      </c>
      <c r="N169" s="275"/>
      <c r="O169" s="275"/>
      <c r="P169" s="253"/>
      <c r="Q169" s="293"/>
      <c r="R169" s="5">
        <v>1</v>
      </c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194">
        <f>IF($G169="Youth 0-3",1,0)</f>
        <v>0</v>
      </c>
      <c r="AY169" s="194">
        <f>IF($G169="Youth 4-11",1,0)</f>
        <v>0</v>
      </c>
      <c r="AZ169" s="194">
        <f>IF($G169="Youth 12-15",1,0)</f>
        <v>1</v>
      </c>
      <c r="BA169" s="194">
        <f>IF($G169="Addict",1,0)</f>
        <v>0</v>
      </c>
      <c r="BB169" s="194">
        <f>IF($G169="Non-Addict",1,0)</f>
        <v>0</v>
      </c>
      <c r="BC169" s="194">
        <f>IF($G169="Free Reg Certificate",1,0)</f>
        <v>0</v>
      </c>
      <c r="BD169" s="194">
        <f>IF($G169="Newcomer",1,0)</f>
        <v>0</v>
      </c>
      <c r="BE169" s="194">
        <f>IF($G169="Committee",1,0)</f>
        <v>0</v>
      </c>
      <c r="BF169" s="194">
        <f>IF($G169="Treatment",1,0)</f>
        <v>0</v>
      </c>
      <c r="BG169" s="194">
        <f>IF($G169="Meeting Sponsored",1,0)</f>
        <v>0</v>
      </c>
      <c r="BH169" s="194">
        <f>IF($G169="Programming",1,0)</f>
        <v>0</v>
      </c>
      <c r="BI169" s="194">
        <f>IF($G169="Hardship",1,0)</f>
        <v>0</v>
      </c>
      <c r="BJ169" s="194">
        <f>IF($G169="Refund",1,0)</f>
        <v>0</v>
      </c>
      <c r="BK169" s="194">
        <f>IF($G169="Vermilion Bucks",1,0)</f>
        <v>0</v>
      </c>
      <c r="BL169" s="194">
        <f>IF($G169="Other",1,0)</f>
        <v>0</v>
      </c>
      <c r="BM169" s="286"/>
      <c r="BN169" s="286"/>
      <c r="BO169" s="286">
        <f>SUM(AX169:BL169)</f>
        <v>1</v>
      </c>
      <c r="BP169" s="287">
        <f>SUM(R169:AW169)</f>
        <v>1</v>
      </c>
      <c r="BQ169" s="287">
        <f>+BO169+BP169</f>
        <v>2</v>
      </c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</row>
    <row r="170" spans="1:85" x14ac:dyDescent="0.2">
      <c r="A170" s="294" t="s">
        <v>509</v>
      </c>
      <c r="B170" s="177"/>
      <c r="C170" s="5"/>
      <c r="D170" s="6"/>
      <c r="E170" s="284">
        <f>IF($D170 = 0,0,DATEDIF($D170,$D$7,"D"))</f>
        <v>0</v>
      </c>
      <c r="F170" s="193">
        <f>((R170*$R$2)+(S170*$S$2)+(T170*$T$2)++(U170*$U$2)++(V170*$V$2)++(W170*$W$2)++(X170*$X$2)++(Y170*$Y$2)+(Z170*$Z$2)+(AA170*$AA$2)+(AB170*$AB$2)+(AC170*$AC$2)+(AD170*$AD$2)+(AE170*$AE$2)+(AF170*$AF$2)+(AG170*$AG$2)+(AH170*$AH$2)+(AI170*$AI$2)+(AJ170*$AJ$2)+(AK170*$AK$2)+(AL170*$AL$2)+(AM170*$AM$2)+(AN170*$AN$2)+(AO170*$AO$2)+(AP170*$AP$2)+(AQ170*$AQ$2)+(AR170*$AR$2)+(AS170*$AS$2)+(AT170*$AT$2)+(AU170*$AU$2)+(AV170*$AV$2)+(AW170*$AW$2))</f>
        <v>50</v>
      </c>
      <c r="G170" s="8" t="s">
        <v>97</v>
      </c>
      <c r="H170" s="9"/>
      <c r="I170" s="9">
        <v>25</v>
      </c>
      <c r="J170" s="9"/>
      <c r="K170" s="93">
        <f>+F170-I170+J170-H170</f>
        <v>25</v>
      </c>
      <c r="L170" s="64">
        <v>25</v>
      </c>
      <c r="M170" s="275">
        <f>+K170-L170</f>
        <v>0</v>
      </c>
      <c r="N170" s="275"/>
      <c r="O170" s="275"/>
      <c r="P170" s="253"/>
      <c r="Q170" s="293"/>
      <c r="R170" s="5">
        <v>1</v>
      </c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194">
        <f>IF($G170="Youth 0-3",1,0)</f>
        <v>0</v>
      </c>
      <c r="AY170" s="194">
        <f>IF($G170="Youth 4-11",1,0)</f>
        <v>0</v>
      </c>
      <c r="AZ170" s="194">
        <f>IF($G170="Youth 12-15",1,0)</f>
        <v>1</v>
      </c>
      <c r="BA170" s="194">
        <f>IF($G170="Addict",1,0)</f>
        <v>0</v>
      </c>
      <c r="BB170" s="194">
        <f>IF($G170="Non-Addict",1,0)</f>
        <v>0</v>
      </c>
      <c r="BC170" s="194">
        <f>IF($G170="Free Reg Certificate",1,0)</f>
        <v>0</v>
      </c>
      <c r="BD170" s="194">
        <f>IF($G170="Newcomer",1,0)</f>
        <v>0</v>
      </c>
      <c r="BE170" s="194">
        <f>IF($G170="Committee",1,0)</f>
        <v>0</v>
      </c>
      <c r="BF170" s="194">
        <f>IF($G170="Treatment",1,0)</f>
        <v>0</v>
      </c>
      <c r="BG170" s="194">
        <f>IF($G170="Meeting Sponsored",1,0)</f>
        <v>0</v>
      </c>
      <c r="BH170" s="194">
        <f>IF($G170="Programming",1,0)</f>
        <v>0</v>
      </c>
      <c r="BI170" s="194">
        <f>IF($G170="Hardship",1,0)</f>
        <v>0</v>
      </c>
      <c r="BJ170" s="194">
        <f>IF($G170="Refund",1,0)</f>
        <v>0</v>
      </c>
      <c r="BK170" s="194">
        <f>IF($G170="Vermilion Bucks",1,0)</f>
        <v>0</v>
      </c>
      <c r="BL170" s="194">
        <f>IF($G170="Other",1,0)</f>
        <v>0</v>
      </c>
      <c r="BM170" s="286"/>
      <c r="BN170" s="286"/>
      <c r="BO170" s="286">
        <f>SUM(AX170:BL170)</f>
        <v>1</v>
      </c>
      <c r="BP170" s="287">
        <f>SUM(R170:AW170)</f>
        <v>1</v>
      </c>
      <c r="BQ170" s="287">
        <f>+BO170+BP170</f>
        <v>2</v>
      </c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</row>
    <row r="171" spans="1:85" x14ac:dyDescent="0.2">
      <c r="A171" s="294" t="s">
        <v>489</v>
      </c>
      <c r="B171" s="283" t="s">
        <v>490</v>
      </c>
      <c r="C171" s="5">
        <v>293</v>
      </c>
      <c r="D171" s="6">
        <v>43952</v>
      </c>
      <c r="E171" s="284">
        <f>IF($D171 = 0,0,DATEDIF($D171,$D$7,"D"))</f>
        <v>498</v>
      </c>
      <c r="F171" s="193">
        <f>((R171*$R$2)+(S171*$S$2)+(T171*$T$2)++(U171*$U$2)++(V171*$V$2)++(W171*$W$2)++(X171*$X$2)++(Y171*$Y$2)+(Z171*$Z$2)+(AA171*$AA$2)+(AB171*$AB$2)+(AC171*$AC$2)+(AD171*$AD$2)+(AE171*$AE$2)+(AF171*$AF$2)+(AG171*$AG$2)+(AH171*$AH$2)+(AI171*$AI$2)+(AJ171*$AJ$2)+(AK171*$AK$2)+(AL171*$AL$2)+(AM171*$AM$2)+(AN171*$AN$2)+(AO171*$AO$2)+(AP171*$AP$2)+(AQ171*$AQ$2)+(AR171*$AR$2)+(AS171*$AS$2)+(AT171*$AT$2)+(AU171*$AU$2)+(AV171*$AV$2)+(AW171*$AW$2))</f>
        <v>50</v>
      </c>
      <c r="G171" s="8" t="s">
        <v>38</v>
      </c>
      <c r="H171" s="9"/>
      <c r="I171" s="9"/>
      <c r="J171" s="9"/>
      <c r="K171" s="93">
        <f>+F171-I171+J171-H171</f>
        <v>50</v>
      </c>
      <c r="L171" s="64">
        <v>50</v>
      </c>
      <c r="M171" s="275">
        <f>+K171-L171</f>
        <v>0</v>
      </c>
      <c r="N171" s="275"/>
      <c r="O171" s="275"/>
      <c r="P171" s="253"/>
      <c r="Q171" s="293"/>
      <c r="R171" s="5">
        <v>1</v>
      </c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194">
        <f>IF($G171="Youth 0-3",1,0)</f>
        <v>0</v>
      </c>
      <c r="AY171" s="194">
        <f>IF($G171="Youth 4-11",1,0)</f>
        <v>0</v>
      </c>
      <c r="AZ171" s="194">
        <f>IF($G171="Youth 12-15",1,0)</f>
        <v>0</v>
      </c>
      <c r="BA171" s="194">
        <f>IF($G171="Addict",1,0)</f>
        <v>1</v>
      </c>
      <c r="BB171" s="194">
        <f>IF($G171="Non-Addict",1,0)</f>
        <v>0</v>
      </c>
      <c r="BC171" s="194">
        <f>IF($G171="Free Reg Certificate",1,0)</f>
        <v>0</v>
      </c>
      <c r="BD171" s="194">
        <f>IF($G171="Newcomer",1,0)</f>
        <v>0</v>
      </c>
      <c r="BE171" s="194">
        <f>IF($G171="Committee",1,0)</f>
        <v>0</v>
      </c>
      <c r="BF171" s="194">
        <f>IF($G171="Treatment",1,0)</f>
        <v>0</v>
      </c>
      <c r="BG171" s="194">
        <f>IF($G171="Meeting Sponsored",1,0)</f>
        <v>0</v>
      </c>
      <c r="BH171" s="194">
        <f>IF($G171="Programming",1,0)</f>
        <v>0</v>
      </c>
      <c r="BI171" s="194">
        <f>IF($G171="Hardship",1,0)</f>
        <v>0</v>
      </c>
      <c r="BJ171" s="194">
        <f>IF($G171="Refund",1,0)</f>
        <v>0</v>
      </c>
      <c r="BK171" s="194">
        <f>IF($G171="Vermilion Bucks",1,0)</f>
        <v>0</v>
      </c>
      <c r="BL171" s="194">
        <f>IF($G171="Other",1,0)</f>
        <v>0</v>
      </c>
      <c r="BM171" s="286"/>
      <c r="BN171" s="286"/>
      <c r="BO171" s="286">
        <f>SUM(AX171:BL171)</f>
        <v>1</v>
      </c>
      <c r="BP171" s="287">
        <f>SUM(R171:AW171)</f>
        <v>1</v>
      </c>
      <c r="BQ171" s="287">
        <f>+BO171+BP171</f>
        <v>2</v>
      </c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</row>
    <row r="172" spans="1:85" x14ac:dyDescent="0.2">
      <c r="A172" s="294" t="s">
        <v>369</v>
      </c>
      <c r="B172" s="177"/>
      <c r="C172" s="5">
        <v>81</v>
      </c>
      <c r="D172" s="6">
        <v>29227</v>
      </c>
      <c r="E172" s="284">
        <f>IF($D172 = 0,0,DATEDIF($D172,$D$7,"D"))</f>
        <v>15223</v>
      </c>
      <c r="F172" s="193">
        <f>((R172*$R$2)+(S172*$S$2)+(T172*$T$2)++(U172*$U$2)++(V172*$V$2)++(W172*$W$2)++(X172*$X$2)++(Y172*$Y$2)+(Z172*$Z$2)+(AA172*$AA$2)+(AB172*$AB$2)+(AC172*$AC$2)+(AD172*$AD$2)+(AE172*$AE$2)+(AF172*$AF$2)+(AG172*$AG$2)+(AH172*$AH$2)+(AI172*$AI$2)+(AJ172*$AJ$2)+(AK172*$AK$2)+(AL172*$AL$2)+(AM172*$AM$2)+(AN172*$AN$2)+(AO172*$AO$2)+(AP172*$AP$2)+(AQ172*$AQ$2)+(AR172*$AR$2)+(AS172*$AS$2)+(AT172*$AT$2)+(AU172*$AU$2)+(AV172*$AV$2)+(AW172*$AW$2))</f>
        <v>125</v>
      </c>
      <c r="G172" s="8" t="s">
        <v>38</v>
      </c>
      <c r="H172" s="9"/>
      <c r="I172" s="9"/>
      <c r="J172" s="9">
        <v>25</v>
      </c>
      <c r="K172" s="93">
        <f>+F172-I172+J172-H172</f>
        <v>150</v>
      </c>
      <c r="L172" s="64">
        <v>150</v>
      </c>
      <c r="M172" s="275">
        <f>+K172-L172</f>
        <v>0</v>
      </c>
      <c r="N172" s="275"/>
      <c r="O172" s="275"/>
      <c r="P172" s="253"/>
      <c r="Q172" s="293"/>
      <c r="R172" s="5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>
        <v>1</v>
      </c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194">
        <f>IF($G172="Youth 0-3",1,0)</f>
        <v>0</v>
      </c>
      <c r="AY172" s="194">
        <f>IF($G172="Youth 4-11",1,0)</f>
        <v>0</v>
      </c>
      <c r="AZ172" s="194">
        <f>IF($G172="Youth 12-15",1,0)</f>
        <v>0</v>
      </c>
      <c r="BA172" s="194">
        <f>IF($G172="Addict",1,0)</f>
        <v>1</v>
      </c>
      <c r="BB172" s="194">
        <f>IF($G172="Non-Addict",1,0)</f>
        <v>0</v>
      </c>
      <c r="BC172" s="194">
        <f>IF($G172="Free Reg Certificate",1,0)</f>
        <v>0</v>
      </c>
      <c r="BD172" s="194">
        <f>IF($G172="Newcomer",1,0)</f>
        <v>0</v>
      </c>
      <c r="BE172" s="194">
        <f>IF($G172="Committee",1,0)</f>
        <v>0</v>
      </c>
      <c r="BF172" s="194">
        <f>IF($G172="Treatment",1,0)</f>
        <v>0</v>
      </c>
      <c r="BG172" s="194">
        <f>IF($G172="Meeting Sponsored",1,0)</f>
        <v>0</v>
      </c>
      <c r="BH172" s="194">
        <f>IF($G172="Programming",1,0)</f>
        <v>0</v>
      </c>
      <c r="BI172" s="194">
        <f>IF($G172="Hardship",1,0)</f>
        <v>0</v>
      </c>
      <c r="BJ172" s="194">
        <f>IF($G172="Refund",1,0)</f>
        <v>0</v>
      </c>
      <c r="BK172" s="194">
        <f>IF($G172="Vermilion Bucks",1,0)</f>
        <v>0</v>
      </c>
      <c r="BL172" s="194">
        <f>IF($G172="Other",1,0)</f>
        <v>0</v>
      </c>
      <c r="BM172" s="286"/>
      <c r="BN172" s="286"/>
      <c r="BO172" s="286">
        <f>SUM(AX172:BL172)</f>
        <v>1</v>
      </c>
      <c r="BP172" s="287">
        <f>SUM(R172:AW172)</f>
        <v>1</v>
      </c>
      <c r="BQ172" s="287">
        <f>+BO172+BP172</f>
        <v>2</v>
      </c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</row>
    <row r="173" spans="1:85" x14ac:dyDescent="0.2">
      <c r="A173" s="294" t="s">
        <v>397</v>
      </c>
      <c r="B173" s="177"/>
      <c r="C173" s="5">
        <v>443</v>
      </c>
      <c r="D173" s="6">
        <v>42607</v>
      </c>
      <c r="E173" s="284">
        <f>IF($D173 = 0,0,DATEDIF($D173,$D$7,"D"))</f>
        <v>1843</v>
      </c>
      <c r="F173" s="193">
        <f>((R173*$R$2)+(S173*$S$2)+(T173*$T$2)++(U173*$U$2)++(V173*$V$2)++(W173*$W$2)++(X173*$X$2)++(Y173*$Y$2)+(Z173*$Z$2)+(AA173*$AA$2)+(AB173*$AB$2)+(AC173*$AC$2)+(AD173*$AD$2)+(AE173*$AE$2)+(AF173*$AF$2)+(AG173*$AG$2)+(AH173*$AH$2)+(AI173*$AI$2)+(AJ173*$AJ$2)+(AK173*$AK$2)+(AL173*$AL$2)+(AM173*$AM$2)+(AN173*$AN$2)+(AO173*$AO$2)+(AP173*$AP$2)+(AQ173*$AQ$2)+(AR173*$AR$2)+(AS173*$AS$2)+(AT173*$AT$2)+(AU173*$AU$2)+(AV173*$AV$2)+(AW173*$AW$2))</f>
        <v>140</v>
      </c>
      <c r="G173" s="8" t="s">
        <v>38</v>
      </c>
      <c r="H173" s="9"/>
      <c r="I173" s="9"/>
      <c r="J173" s="9"/>
      <c r="K173" s="93">
        <f>+F173-I173+J173-H173</f>
        <v>140</v>
      </c>
      <c r="L173" s="64">
        <v>140</v>
      </c>
      <c r="M173" s="275">
        <f>+K173-L173</f>
        <v>0</v>
      </c>
      <c r="N173" s="275"/>
      <c r="O173" s="275"/>
      <c r="P173" s="253"/>
      <c r="Q173" s="293"/>
      <c r="R173" s="5"/>
      <c r="S173" s="8"/>
      <c r="T173" s="8"/>
      <c r="U173" s="8"/>
      <c r="V173" s="8"/>
      <c r="W173" s="8"/>
      <c r="X173" s="8"/>
      <c r="Y173" s="8"/>
      <c r="Z173" s="8">
        <v>1</v>
      </c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194">
        <f>IF($G173="Youth 0-3",1,0)</f>
        <v>0</v>
      </c>
      <c r="AY173" s="194">
        <f>IF($G173="Youth 4-11",1,0)</f>
        <v>0</v>
      </c>
      <c r="AZ173" s="194">
        <f>IF($G173="Youth 12-15",1,0)</f>
        <v>0</v>
      </c>
      <c r="BA173" s="194">
        <f>IF($G173="Addict",1,0)</f>
        <v>1</v>
      </c>
      <c r="BB173" s="194">
        <f>IF($G173="Non-Addict",1,0)</f>
        <v>0</v>
      </c>
      <c r="BC173" s="194">
        <f>IF($G173="Free Reg Certificate",1,0)</f>
        <v>0</v>
      </c>
      <c r="BD173" s="194">
        <f>IF($G173="Newcomer",1,0)</f>
        <v>0</v>
      </c>
      <c r="BE173" s="194">
        <f>IF($G173="Committee",1,0)</f>
        <v>0</v>
      </c>
      <c r="BF173" s="194">
        <f>IF($G173="Treatment",1,0)</f>
        <v>0</v>
      </c>
      <c r="BG173" s="194">
        <f>IF($G173="Meeting Sponsored",1,0)</f>
        <v>0</v>
      </c>
      <c r="BH173" s="194">
        <f>IF($G173="Programming",1,0)</f>
        <v>0</v>
      </c>
      <c r="BI173" s="194">
        <f>IF($G173="Hardship",1,0)</f>
        <v>0</v>
      </c>
      <c r="BJ173" s="194">
        <f>IF($G173="Refund",1,0)</f>
        <v>0</v>
      </c>
      <c r="BK173" s="194">
        <f>IF($G173="Vermilion Bucks",1,0)</f>
        <v>0</v>
      </c>
      <c r="BL173" s="194">
        <f>IF($G173="Other",1,0)</f>
        <v>0</v>
      </c>
      <c r="BM173" s="286"/>
      <c r="BN173" s="286"/>
      <c r="BO173" s="286">
        <f>SUM(AX173:BL173)</f>
        <v>1</v>
      </c>
      <c r="BP173" s="287">
        <f>SUM(R173:AW173)</f>
        <v>1</v>
      </c>
      <c r="BQ173" s="287">
        <f>+BO173+BP173</f>
        <v>2</v>
      </c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</row>
    <row r="174" spans="1:85" x14ac:dyDescent="0.2">
      <c r="A174" s="294" t="s">
        <v>316</v>
      </c>
      <c r="B174" s="177"/>
      <c r="C174" s="5">
        <v>207</v>
      </c>
      <c r="D174" s="6">
        <v>44384</v>
      </c>
      <c r="E174" s="284">
        <f>IF($D174 = 0,0,DATEDIF($D174,$D$7,"D"))</f>
        <v>66</v>
      </c>
      <c r="F174" s="193">
        <f>((R174*$R$2)+(S174*$S$2)+(T174*$T$2)++(U174*$U$2)++(V174*$V$2)++(W174*$W$2)++(X174*$X$2)++(Y174*$Y$2)+(Z174*$Z$2)+(AA174*$AA$2)+(AB174*$AB$2)+(AC174*$AC$2)+(AD174*$AD$2)+(AE174*$AE$2)+(AF174*$AF$2)+(AG174*$AG$2)+(AH174*$AH$2)+(AI174*$AI$2)+(AJ174*$AJ$2)+(AK174*$AK$2)+(AL174*$AL$2)+(AM174*$AM$2)+(AN174*$AN$2)+(AO174*$AO$2)+(AP174*$AP$2)+(AQ174*$AQ$2)+(AR174*$AR$2)+(AS174*$AS$2)+(AT174*$AT$2)+(AU174*$AU$2)+(AV174*$AV$2)+(AW174*$AW$2))</f>
        <v>125</v>
      </c>
      <c r="G174" s="8" t="s">
        <v>172</v>
      </c>
      <c r="H174" s="9">
        <v>65</v>
      </c>
      <c r="I174" s="9"/>
      <c r="J174" s="9"/>
      <c r="K174" s="93">
        <f>+F174-I174+J174-H174</f>
        <v>60</v>
      </c>
      <c r="L174" s="64">
        <v>60</v>
      </c>
      <c r="M174" s="275">
        <f>+K174-L174</f>
        <v>0</v>
      </c>
      <c r="N174" s="275"/>
      <c r="O174" s="275"/>
      <c r="P174" s="253"/>
      <c r="Q174" s="293"/>
      <c r="R174" s="5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>
        <v>1</v>
      </c>
      <c r="AQ174" s="8"/>
      <c r="AR174" s="8"/>
      <c r="AS174" s="8"/>
      <c r="AT174" s="8"/>
      <c r="AU174" s="8"/>
      <c r="AV174" s="8"/>
      <c r="AW174" s="8"/>
      <c r="AX174" s="194">
        <f>IF($G174="Youth 0-3",1,0)</f>
        <v>0</v>
      </c>
      <c r="AY174" s="194">
        <f>IF($G174="Youth 4-11",1,0)</f>
        <v>0</v>
      </c>
      <c r="AZ174" s="194">
        <f>IF($G174="Youth 12-15",1,0)</f>
        <v>0</v>
      </c>
      <c r="BA174" s="194">
        <f>IF($G174="Addict",1,0)</f>
        <v>0</v>
      </c>
      <c r="BB174" s="194">
        <f>IF($G174="Non-Addict",1,0)</f>
        <v>0</v>
      </c>
      <c r="BC174" s="194">
        <f>IF($G174="Free Reg Certificate",1,0)</f>
        <v>0</v>
      </c>
      <c r="BD174" s="194">
        <f>IF($G174="Newcomer",1,0)</f>
        <v>0</v>
      </c>
      <c r="BE174" s="194">
        <f>IF($G174="Committee",1,0)</f>
        <v>0</v>
      </c>
      <c r="BF174" s="194">
        <f>IF($G174="Treatment",1,0)</f>
        <v>1</v>
      </c>
      <c r="BG174" s="194">
        <f>IF($G174="Meeting Sponsored",1,0)</f>
        <v>0</v>
      </c>
      <c r="BH174" s="194">
        <f>IF($G174="Programming",1,0)</f>
        <v>0</v>
      </c>
      <c r="BI174" s="194">
        <f>IF($G174="Hardship",1,0)</f>
        <v>0</v>
      </c>
      <c r="BJ174" s="194">
        <f>IF($G174="Refund",1,0)</f>
        <v>0</v>
      </c>
      <c r="BK174" s="194">
        <f>IF($G174="Vermilion Bucks",1,0)</f>
        <v>0</v>
      </c>
      <c r="BL174" s="194">
        <f>IF($G174="Other",1,0)</f>
        <v>0</v>
      </c>
      <c r="BM174" s="286"/>
      <c r="BN174" s="286"/>
      <c r="BO174" s="286">
        <f>SUM(AX174:BL174)</f>
        <v>1</v>
      </c>
      <c r="BP174" s="287">
        <f>SUM(R174:AW174)</f>
        <v>1</v>
      </c>
      <c r="BQ174" s="287">
        <f>+BO174+BP174</f>
        <v>2</v>
      </c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</row>
    <row r="175" spans="1:85" x14ac:dyDescent="0.2">
      <c r="A175" s="294" t="s">
        <v>498</v>
      </c>
      <c r="B175" s="177"/>
      <c r="C175" s="5">
        <v>199</v>
      </c>
      <c r="D175" s="6"/>
      <c r="E175" s="284">
        <f>IF($D175 = 0,0,DATEDIF($D175,$D$7,"D"))</f>
        <v>0</v>
      </c>
      <c r="F175" s="193">
        <f>((R175*$R$2)+(S175*$S$2)+(T175*$T$2)++(U175*$U$2)++(V175*$V$2)++(W175*$W$2)++(X175*$X$2)++(Y175*$Y$2)+(Z175*$Z$2)+(AA175*$AA$2)+(AB175*$AB$2)+(AC175*$AC$2)+(AD175*$AD$2)+(AE175*$AE$2)+(AF175*$AF$2)+(AG175*$AG$2)+(AH175*$AH$2)+(AI175*$AI$2)+(AJ175*$AJ$2)+(AK175*$AK$2)+(AL175*$AL$2)+(AM175*$AM$2)+(AN175*$AN$2)+(AO175*$AO$2)+(AP175*$AP$2)+(AQ175*$AQ$2)+(AR175*$AR$2)+(AS175*$AS$2)+(AT175*$AT$2)+(AU175*$AU$2)+(AV175*$AV$2)+(AW175*$AW$2))</f>
        <v>50</v>
      </c>
      <c r="G175" s="8" t="s">
        <v>39</v>
      </c>
      <c r="H175" s="9"/>
      <c r="I175" s="9"/>
      <c r="J175" s="9"/>
      <c r="K175" s="93">
        <f>+F175-I175+J175-H175</f>
        <v>50</v>
      </c>
      <c r="L175" s="64">
        <v>50</v>
      </c>
      <c r="M175" s="275">
        <f>+K175-L175</f>
        <v>0</v>
      </c>
      <c r="N175" s="275"/>
      <c r="O175" s="275"/>
      <c r="P175" s="253"/>
      <c r="Q175" s="293"/>
      <c r="R175" s="5">
        <v>1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194">
        <f>IF($G175="Youth 0-3",1,0)</f>
        <v>0</v>
      </c>
      <c r="AY175" s="194">
        <f>IF($G175="Youth 4-11",1,0)</f>
        <v>0</v>
      </c>
      <c r="AZ175" s="194">
        <f>IF($G175="Youth 12-15",1,0)</f>
        <v>0</v>
      </c>
      <c r="BA175" s="194">
        <f>IF($G175="Addict",1,0)</f>
        <v>0</v>
      </c>
      <c r="BB175" s="194">
        <f>IF($G175="Non-Addict",1,0)</f>
        <v>1</v>
      </c>
      <c r="BC175" s="194">
        <f>IF($G175="Free Reg Certificate",1,0)</f>
        <v>0</v>
      </c>
      <c r="BD175" s="194">
        <f>IF($G175="Newcomer",1,0)</f>
        <v>0</v>
      </c>
      <c r="BE175" s="194">
        <f>IF($G175="Committee",1,0)</f>
        <v>0</v>
      </c>
      <c r="BF175" s="194">
        <f>IF($G175="Treatment",1,0)</f>
        <v>0</v>
      </c>
      <c r="BG175" s="194">
        <f>IF($G175="Meeting Sponsored",1,0)</f>
        <v>0</v>
      </c>
      <c r="BH175" s="194">
        <f>IF($G175="Programming",1,0)</f>
        <v>0</v>
      </c>
      <c r="BI175" s="194">
        <f>IF($G175="Hardship",1,0)</f>
        <v>0</v>
      </c>
      <c r="BJ175" s="194">
        <f>IF($G175="Refund",1,0)</f>
        <v>0</v>
      </c>
      <c r="BK175" s="194">
        <f>IF($G175="Vermilion Bucks",1,0)</f>
        <v>0</v>
      </c>
      <c r="BL175" s="194">
        <f>IF($G175="Other",1,0)</f>
        <v>0</v>
      </c>
      <c r="BM175" s="286"/>
      <c r="BN175" s="286"/>
      <c r="BO175" s="286">
        <f>SUM(AX175:BL175)</f>
        <v>1</v>
      </c>
      <c r="BP175" s="287">
        <f>SUM(R175:AW175)</f>
        <v>1</v>
      </c>
      <c r="BQ175" s="287">
        <f>+BO175+BP175</f>
        <v>2</v>
      </c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</row>
    <row r="176" spans="1:85" x14ac:dyDescent="0.2">
      <c r="A176" s="294" t="s">
        <v>445</v>
      </c>
      <c r="B176" s="177"/>
      <c r="C176" s="5"/>
      <c r="D176" s="6"/>
      <c r="E176" s="284">
        <f>IF($D176 = 0,0,DATEDIF($D176,$D$7,"D"))</f>
        <v>0</v>
      </c>
      <c r="F176" s="193">
        <f>((R176*$R$2)+(S176*$S$2)+(T176*$T$2)++(U176*$U$2)++(V176*$V$2)++(W176*$W$2)++(X176*$X$2)++(Y176*$Y$2)+(Z176*$Z$2)+(AA176*$AA$2)+(AB176*$AB$2)+(AC176*$AC$2)+(AD176*$AD$2)+(AE176*$AE$2)+(AF176*$AF$2)+(AG176*$AG$2)+(AH176*$AH$2)+(AI176*$AI$2)+(AJ176*$AJ$2)+(AK176*$AK$2)+(AL176*$AL$2)+(AM176*$AM$2)+(AN176*$AN$2)+(AO176*$AO$2)+(AP176*$AP$2)+(AQ176*$AQ$2)+(AR176*$AR$2)+(AS176*$AS$2)+(AT176*$AT$2)+(AU176*$AU$2)+(AV176*$AV$2)+(AW176*$AW$2))</f>
        <v>100</v>
      </c>
      <c r="G176" s="8" t="s">
        <v>95</v>
      </c>
      <c r="H176" s="9"/>
      <c r="I176" s="9">
        <v>50</v>
      </c>
      <c r="J176" s="9"/>
      <c r="K176" s="93">
        <f>+F176-I176+J176-H176</f>
        <v>50</v>
      </c>
      <c r="L176" s="64">
        <v>50</v>
      </c>
      <c r="M176" s="275">
        <f>+K176-L176</f>
        <v>0</v>
      </c>
      <c r="N176" s="275"/>
      <c r="O176" s="275"/>
      <c r="P176" s="253"/>
      <c r="Q176" s="293"/>
      <c r="R176" s="5"/>
      <c r="S176" s="8">
        <v>1</v>
      </c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194">
        <f>IF($G176="Youth 0-3",1,0)</f>
        <v>0</v>
      </c>
      <c r="AY176" s="194">
        <f>IF($G176="Youth 4-11",1,0)</f>
        <v>1</v>
      </c>
      <c r="AZ176" s="194">
        <f>IF($G176="Youth 12-15",1,0)</f>
        <v>0</v>
      </c>
      <c r="BA176" s="194">
        <f>IF($G176="Addict",1,0)</f>
        <v>0</v>
      </c>
      <c r="BB176" s="194">
        <f>IF($G176="Non-Addict",1,0)</f>
        <v>0</v>
      </c>
      <c r="BC176" s="194">
        <f>IF($G176="Free Reg Certificate",1,0)</f>
        <v>0</v>
      </c>
      <c r="BD176" s="194">
        <f>IF($G176="Newcomer",1,0)</f>
        <v>0</v>
      </c>
      <c r="BE176" s="194">
        <f>IF($G176="Committee",1,0)</f>
        <v>0</v>
      </c>
      <c r="BF176" s="194">
        <f>IF($G176="Treatment",1,0)</f>
        <v>0</v>
      </c>
      <c r="BG176" s="194">
        <f>IF($G176="Meeting Sponsored",1,0)</f>
        <v>0</v>
      </c>
      <c r="BH176" s="194">
        <f>IF($G176="Programming",1,0)</f>
        <v>0</v>
      </c>
      <c r="BI176" s="194">
        <f>IF($G176="Hardship",1,0)</f>
        <v>0</v>
      </c>
      <c r="BJ176" s="194">
        <f>IF($G176="Refund",1,0)</f>
        <v>0</v>
      </c>
      <c r="BK176" s="194">
        <f>IF($G176="Vermilion Bucks",1,0)</f>
        <v>0</v>
      </c>
      <c r="BL176" s="194">
        <f>IF($G176="Other",1,0)</f>
        <v>0</v>
      </c>
      <c r="BM176" s="286"/>
      <c r="BN176" s="286"/>
      <c r="BO176" s="286">
        <f>SUM(AX176:BL176)</f>
        <v>1</v>
      </c>
      <c r="BP176" s="287">
        <f>SUM(R176:AW176)</f>
        <v>1</v>
      </c>
      <c r="BQ176" s="287">
        <f>+BO176+BP176</f>
        <v>2</v>
      </c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</row>
    <row r="177" spans="1:85" x14ac:dyDescent="0.2">
      <c r="A177" s="294" t="s">
        <v>506</v>
      </c>
      <c r="B177" s="177"/>
      <c r="C177" s="5">
        <v>265</v>
      </c>
      <c r="D177" s="6"/>
      <c r="E177" s="284">
        <f>IF($D177 = 0,0,DATEDIF($D177,$D$7,"D"))</f>
        <v>0</v>
      </c>
      <c r="F177" s="193">
        <f>((R177*$R$2)+(S177*$S$2)+(T177*$T$2)++(U177*$U$2)++(V177*$V$2)++(W177*$W$2)++(X177*$X$2)++(Y177*$Y$2)+(Z177*$Z$2)+(AA177*$AA$2)+(AB177*$AB$2)+(AC177*$AC$2)+(AD177*$AD$2)+(AE177*$AE$2)+(AF177*$AF$2)+(AG177*$AG$2)+(AH177*$AH$2)+(AI177*$AI$2)+(AJ177*$AJ$2)+(AK177*$AK$2)+(AL177*$AL$2)+(AM177*$AM$2)+(AN177*$AN$2)+(AO177*$AO$2)+(AP177*$AP$2)+(AQ177*$AQ$2)+(AR177*$AR$2)+(AS177*$AS$2)+(AT177*$AT$2)+(AU177*$AU$2)+(AV177*$AV$2)+(AW177*$AW$2))</f>
        <v>50</v>
      </c>
      <c r="G177" s="8" t="s">
        <v>95</v>
      </c>
      <c r="H177" s="9"/>
      <c r="I177" s="9">
        <v>50</v>
      </c>
      <c r="J177" s="9"/>
      <c r="K177" s="93">
        <f>+F177-I177+J177-H177</f>
        <v>0</v>
      </c>
      <c r="L177" s="64">
        <v>0</v>
      </c>
      <c r="M177" s="275">
        <f>+K177-L177</f>
        <v>0</v>
      </c>
      <c r="N177" s="275"/>
      <c r="O177" s="275"/>
      <c r="P177" s="253"/>
      <c r="Q177" s="293"/>
      <c r="R177" s="5">
        <v>1</v>
      </c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194">
        <f>IF($G177="Youth 0-3",1,0)</f>
        <v>0</v>
      </c>
      <c r="AY177" s="194">
        <f>IF($G177="Youth 4-11",1,0)</f>
        <v>1</v>
      </c>
      <c r="AZ177" s="194">
        <f>IF($G177="Youth 12-15",1,0)</f>
        <v>0</v>
      </c>
      <c r="BA177" s="194">
        <f>IF($G177="Addict",1,0)</f>
        <v>0</v>
      </c>
      <c r="BB177" s="194">
        <f>IF($G177="Non-Addict",1,0)</f>
        <v>0</v>
      </c>
      <c r="BC177" s="194">
        <f>IF($G177="Free Reg Certificate",1,0)</f>
        <v>0</v>
      </c>
      <c r="BD177" s="194">
        <f>IF($G177="Newcomer",1,0)</f>
        <v>0</v>
      </c>
      <c r="BE177" s="194">
        <f>IF($G177="Committee",1,0)</f>
        <v>0</v>
      </c>
      <c r="BF177" s="194">
        <f>IF($G177="Treatment",1,0)</f>
        <v>0</v>
      </c>
      <c r="BG177" s="194">
        <f>IF($G177="Meeting Sponsored",1,0)</f>
        <v>0</v>
      </c>
      <c r="BH177" s="194">
        <f>IF($G177="Programming",1,0)</f>
        <v>0</v>
      </c>
      <c r="BI177" s="194">
        <f>IF($G177="Hardship",1,0)</f>
        <v>0</v>
      </c>
      <c r="BJ177" s="194">
        <f>IF($G177="Refund",1,0)</f>
        <v>0</v>
      </c>
      <c r="BK177" s="194">
        <f>IF($G177="Vermilion Bucks",1,0)</f>
        <v>0</v>
      </c>
      <c r="BL177" s="194">
        <f>IF($G177="Other",1,0)</f>
        <v>0</v>
      </c>
      <c r="BM177" s="286"/>
      <c r="BN177" s="286"/>
      <c r="BO177" s="286">
        <f>SUM(AX177:BL177)</f>
        <v>1</v>
      </c>
      <c r="BP177" s="287">
        <f>SUM(R177:AW177)</f>
        <v>1</v>
      </c>
      <c r="BQ177" s="287">
        <f>+BO177+BP177</f>
        <v>2</v>
      </c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</row>
    <row r="178" spans="1:85" x14ac:dyDescent="0.2">
      <c r="A178" s="294" t="s">
        <v>424</v>
      </c>
      <c r="B178" s="177"/>
      <c r="C178" s="5">
        <v>248</v>
      </c>
      <c r="D178" s="6">
        <v>44406</v>
      </c>
      <c r="E178" s="284">
        <f>IF($D178 = 0,0,DATEDIF($D178,$D$7,"D"))</f>
        <v>44</v>
      </c>
      <c r="F178" s="193">
        <f>((R178*$R$2)+(S178*$S$2)+(T178*$T$2)++(U178*$U$2)++(V178*$V$2)++(W178*$W$2)++(X178*$X$2)++(Y178*$Y$2)+(Z178*$Z$2)+(AA178*$AA$2)+(AB178*$AB$2)+(AC178*$AC$2)+(AD178*$AD$2)+(AE178*$AE$2)+(AF178*$AF$2)+(AG178*$AG$2)+(AH178*$AH$2)+(AI178*$AI$2)+(AJ178*$AJ$2)+(AK178*$AK$2)+(AL178*$AL$2)+(AM178*$AM$2)+(AN178*$AN$2)+(AO178*$AO$2)+(AP178*$AP$2)+(AQ178*$AQ$2)+(AR178*$AR$2)+(AS178*$AS$2)+(AT178*$AT$2)+(AU178*$AU$2)+(AV178*$AV$2)+(AW178*$AW$2))</f>
        <v>125</v>
      </c>
      <c r="G178" s="8" t="s">
        <v>38</v>
      </c>
      <c r="H178" s="9"/>
      <c r="I178" s="9"/>
      <c r="J178" s="9"/>
      <c r="K178" s="93">
        <f>+F178-I178+J178-H178</f>
        <v>125</v>
      </c>
      <c r="L178" s="64">
        <v>125</v>
      </c>
      <c r="M178" s="275">
        <f>+K178-L178</f>
        <v>0</v>
      </c>
      <c r="N178" s="275"/>
      <c r="O178" s="275"/>
      <c r="P178" s="253"/>
      <c r="Q178" s="293"/>
      <c r="R178" s="5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>
        <v>1</v>
      </c>
      <c r="AU178" s="8"/>
      <c r="AV178" s="8"/>
      <c r="AW178" s="8"/>
      <c r="AX178" s="194">
        <f>IF($G178="Youth 0-3",1,0)</f>
        <v>0</v>
      </c>
      <c r="AY178" s="194">
        <f>IF($G178="Youth 4-11",1,0)</f>
        <v>0</v>
      </c>
      <c r="AZ178" s="194">
        <f>IF($G178="Youth 12-15",1,0)</f>
        <v>0</v>
      </c>
      <c r="BA178" s="194">
        <f>IF($G178="Addict",1,0)</f>
        <v>1</v>
      </c>
      <c r="BB178" s="194">
        <f>IF($G178="Non-Addict",1,0)</f>
        <v>0</v>
      </c>
      <c r="BC178" s="194">
        <f>IF($G178="Free Reg Certificate",1,0)</f>
        <v>0</v>
      </c>
      <c r="BD178" s="194">
        <f>IF($G178="Newcomer",1,0)</f>
        <v>0</v>
      </c>
      <c r="BE178" s="194">
        <f>IF($G178="Committee",1,0)</f>
        <v>0</v>
      </c>
      <c r="BF178" s="194">
        <f>IF($G178="Treatment",1,0)</f>
        <v>0</v>
      </c>
      <c r="BG178" s="194">
        <f>IF($G178="Meeting Sponsored",1,0)</f>
        <v>0</v>
      </c>
      <c r="BH178" s="194">
        <f>IF($G178="Programming",1,0)</f>
        <v>0</v>
      </c>
      <c r="BI178" s="194">
        <f>IF($G178="Hardship",1,0)</f>
        <v>0</v>
      </c>
      <c r="BJ178" s="194">
        <f>IF($G178="Refund",1,0)</f>
        <v>0</v>
      </c>
      <c r="BK178" s="194">
        <f>IF($G178="Vermilion Bucks",1,0)</f>
        <v>0</v>
      </c>
      <c r="BL178" s="194">
        <f>IF($G178="Other",1,0)</f>
        <v>0</v>
      </c>
      <c r="BM178" s="286"/>
      <c r="BN178" s="286"/>
      <c r="BO178" s="286">
        <f>SUM(AX178:BL178)</f>
        <v>1</v>
      </c>
      <c r="BP178" s="287">
        <f>SUM(R178:AW178)</f>
        <v>1</v>
      </c>
      <c r="BQ178" s="287">
        <f>+BO178+BP178</f>
        <v>2</v>
      </c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</row>
    <row r="179" spans="1:85" x14ac:dyDescent="0.2">
      <c r="A179" s="294" t="s">
        <v>465</v>
      </c>
      <c r="B179" s="283" t="s">
        <v>466</v>
      </c>
      <c r="C179" s="5">
        <v>221</v>
      </c>
      <c r="D179" s="6">
        <v>38761</v>
      </c>
      <c r="E179" s="284">
        <f>IF($D179 = 0,0,DATEDIF($D179,$D$7,"D"))</f>
        <v>5689</v>
      </c>
      <c r="F179" s="193">
        <f>((R179*$R$2)+(S179*$S$2)+(T179*$T$2)++(U179*$U$2)++(V179*$V$2)++(W179*$W$2)++(X179*$X$2)++(Y179*$Y$2)+(Z179*$Z$2)+(AA179*$AA$2)+(AB179*$AB$2)+(AC179*$AC$2)+(AD179*$AD$2)+(AE179*$AE$2)+(AF179*$AF$2)+(AG179*$AG$2)+(AH179*$AH$2)+(AI179*$AI$2)+(AJ179*$AJ$2)+(AK179*$AK$2)+(AL179*$AL$2)+(AM179*$AM$2)+(AN179*$AN$2)+(AO179*$AO$2)+(AP179*$AP$2)+(AQ179*$AQ$2)+(AR179*$AR$2)+(AS179*$AS$2)+(AT179*$AT$2)+(AU179*$AU$2)+(AV179*$AV$2)+(AW179*$AW$2))</f>
        <v>100</v>
      </c>
      <c r="G179" s="8" t="s">
        <v>38</v>
      </c>
      <c r="H179" s="9"/>
      <c r="I179" s="9"/>
      <c r="J179" s="9"/>
      <c r="K179" s="93">
        <f>+F179-I179+J179-H179</f>
        <v>100</v>
      </c>
      <c r="L179" s="64">
        <v>100</v>
      </c>
      <c r="M179" s="275">
        <f>+K179-L179</f>
        <v>0</v>
      </c>
      <c r="N179" s="275"/>
      <c r="O179" s="275"/>
      <c r="P179" s="253"/>
      <c r="Q179" s="293"/>
      <c r="R179" s="5"/>
      <c r="S179" s="8">
        <v>1</v>
      </c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194">
        <f>IF($G179="Youth 0-3",1,0)</f>
        <v>0</v>
      </c>
      <c r="AY179" s="194">
        <f>IF($G179="Youth 4-11",1,0)</f>
        <v>0</v>
      </c>
      <c r="AZ179" s="194">
        <f>IF($G179="Youth 12-15",1,0)</f>
        <v>0</v>
      </c>
      <c r="BA179" s="194">
        <f>IF($G179="Addict",1,0)</f>
        <v>1</v>
      </c>
      <c r="BB179" s="194">
        <f>IF($G179="Non-Addict",1,0)</f>
        <v>0</v>
      </c>
      <c r="BC179" s="194">
        <f>IF($G179="Free Reg Certificate",1,0)</f>
        <v>0</v>
      </c>
      <c r="BD179" s="194">
        <f>IF($G179="Newcomer",1,0)</f>
        <v>0</v>
      </c>
      <c r="BE179" s="194">
        <f>IF($G179="Committee",1,0)</f>
        <v>0</v>
      </c>
      <c r="BF179" s="194">
        <f>IF($G179="Treatment",1,0)</f>
        <v>0</v>
      </c>
      <c r="BG179" s="194">
        <f>IF($G179="Meeting Sponsored",1,0)</f>
        <v>0</v>
      </c>
      <c r="BH179" s="194">
        <f>IF($G179="Programming",1,0)</f>
        <v>0</v>
      </c>
      <c r="BI179" s="194">
        <f>IF($G179="Hardship",1,0)</f>
        <v>0</v>
      </c>
      <c r="BJ179" s="194">
        <f>IF($G179="Refund",1,0)</f>
        <v>0</v>
      </c>
      <c r="BK179" s="194">
        <f>IF($G179="Vermilion Bucks",1,0)</f>
        <v>0</v>
      </c>
      <c r="BL179" s="194">
        <f>IF($G179="Other",1,0)</f>
        <v>0</v>
      </c>
      <c r="BM179" s="286"/>
      <c r="BN179" s="286"/>
      <c r="BO179" s="286">
        <f>SUM(AX179:BL179)</f>
        <v>1</v>
      </c>
      <c r="BP179" s="287">
        <f>SUM(R179:AW179)</f>
        <v>1</v>
      </c>
      <c r="BQ179" s="287">
        <f>+BO179+BP179</f>
        <v>2</v>
      </c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</row>
    <row r="180" spans="1:85" x14ac:dyDescent="0.2">
      <c r="A180" s="294" t="s">
        <v>371</v>
      </c>
      <c r="B180" s="177"/>
      <c r="C180" s="5">
        <v>81</v>
      </c>
      <c r="D180" s="6">
        <v>44449</v>
      </c>
      <c r="E180" s="284">
        <f>IF($D180 = 0,0,DATEDIF($D180,$D$7,"D"))</f>
        <v>1</v>
      </c>
      <c r="F180" s="193">
        <f>((R180*$R$2)+(S180*$S$2)+(T180*$T$2)++(U180*$U$2)++(V180*$V$2)++(W180*$W$2)++(X180*$X$2)++(Y180*$Y$2)+(Z180*$Z$2)+(AA180*$AA$2)+(AB180*$AB$2)+(AC180*$AC$2)+(AD180*$AD$2)+(AE180*$AE$2)+(AF180*$AF$2)+(AG180*$AG$2)+(AH180*$AH$2)+(AI180*$AI$2)+(AJ180*$AJ$2)+(AK180*$AK$2)+(AL180*$AL$2)+(AM180*$AM$2)+(AN180*$AN$2)+(AO180*$AO$2)+(AP180*$AP$2)+(AQ180*$AQ$2)+(AR180*$AR$2)+(AS180*$AS$2)+(AT180*$AT$2)+(AU180*$AU$2)+(AV180*$AV$2)+(AW180*$AW$2))</f>
        <v>125</v>
      </c>
      <c r="G180" s="8" t="s">
        <v>38</v>
      </c>
      <c r="H180" s="9"/>
      <c r="I180" s="9"/>
      <c r="J180" s="9"/>
      <c r="K180" s="93">
        <f>+F180-I180+J180-H180</f>
        <v>125</v>
      </c>
      <c r="L180" s="64">
        <v>125</v>
      </c>
      <c r="M180" s="275">
        <f>+K180-L180</f>
        <v>0</v>
      </c>
      <c r="N180" s="275"/>
      <c r="O180" s="275"/>
      <c r="P180" s="253"/>
      <c r="Q180" s="293"/>
      <c r="R180" s="5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>
        <v>1</v>
      </c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194">
        <f>IF($G180="Youth 0-3",1,0)</f>
        <v>0</v>
      </c>
      <c r="AY180" s="194">
        <f>IF($G180="Youth 4-11",1,0)</f>
        <v>0</v>
      </c>
      <c r="AZ180" s="194">
        <f>IF($G180="Youth 12-15",1,0)</f>
        <v>0</v>
      </c>
      <c r="BA180" s="194">
        <f>IF($G180="Addict",1,0)</f>
        <v>1</v>
      </c>
      <c r="BB180" s="194">
        <f>IF($G180="Non-Addict",1,0)</f>
        <v>0</v>
      </c>
      <c r="BC180" s="194">
        <f>IF($G180="Free Reg Certificate",1,0)</f>
        <v>0</v>
      </c>
      <c r="BD180" s="194">
        <f>IF($G180="Newcomer",1,0)</f>
        <v>0</v>
      </c>
      <c r="BE180" s="194">
        <f>IF($G180="Committee",1,0)</f>
        <v>0</v>
      </c>
      <c r="BF180" s="194">
        <f>IF($G180="Treatment",1,0)</f>
        <v>0</v>
      </c>
      <c r="BG180" s="194">
        <f>IF($G180="Meeting Sponsored",1,0)</f>
        <v>0</v>
      </c>
      <c r="BH180" s="194">
        <f>IF($G180="Programming",1,0)</f>
        <v>0</v>
      </c>
      <c r="BI180" s="194">
        <f>IF($G180="Hardship",1,0)</f>
        <v>0</v>
      </c>
      <c r="BJ180" s="194">
        <f>IF($G180="Refund",1,0)</f>
        <v>0</v>
      </c>
      <c r="BK180" s="194">
        <f>IF($G180="Vermilion Bucks",1,0)</f>
        <v>0</v>
      </c>
      <c r="BL180" s="194">
        <f>IF($G180="Other",1,0)</f>
        <v>0</v>
      </c>
      <c r="BM180" s="286"/>
      <c r="BN180" s="286"/>
      <c r="BO180" s="286">
        <f>SUM(AX180:BL180)</f>
        <v>1</v>
      </c>
      <c r="BP180" s="287">
        <f>SUM(R180:AW180)</f>
        <v>1</v>
      </c>
      <c r="BQ180" s="287">
        <f>+BO180+BP180</f>
        <v>2</v>
      </c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</row>
    <row r="181" spans="1:85" x14ac:dyDescent="0.2">
      <c r="A181" s="294" t="s">
        <v>404</v>
      </c>
      <c r="B181" s="177"/>
      <c r="C181" s="5">
        <v>265</v>
      </c>
      <c r="D181" s="6"/>
      <c r="E181" s="284">
        <f>IF($D181 = 0,0,DATEDIF($D181,$D$7,"D"))</f>
        <v>0</v>
      </c>
      <c r="F181" s="193">
        <f>((R181*$R$2)+(S181*$S$2)+(T181*$T$2)++(U181*$U$2)++(V181*$V$2)++(W181*$W$2)++(X181*$X$2)++(Y181*$Y$2)+(Z181*$Z$2)+(AA181*$AA$2)+(AB181*$AB$2)+(AC181*$AC$2)+(AD181*$AD$2)+(AE181*$AE$2)+(AF181*$AF$2)+(AG181*$AG$2)+(AH181*$AH$2)+(AI181*$AI$2)+(AJ181*$AJ$2)+(AK181*$AK$2)+(AL181*$AL$2)+(AM181*$AM$2)+(AN181*$AN$2)+(AO181*$AO$2)+(AP181*$AP$2)+(AQ181*$AQ$2)+(AR181*$AR$2)+(AS181*$AS$2)+(AT181*$AT$2)+(AU181*$AU$2)+(AV181*$AV$2)+(AW181*$AW$2))</f>
        <v>125</v>
      </c>
      <c r="G181" s="8" t="s">
        <v>39</v>
      </c>
      <c r="H181" s="9"/>
      <c r="I181" s="9"/>
      <c r="J181" s="9"/>
      <c r="K181" s="93">
        <f>+F181-I181+J181-H181</f>
        <v>125</v>
      </c>
      <c r="L181" s="64">
        <v>125</v>
      </c>
      <c r="M181" s="275">
        <f>+K181-L181</f>
        <v>0</v>
      </c>
      <c r="N181" s="275"/>
      <c r="O181" s="275"/>
      <c r="P181" s="253"/>
      <c r="Q181" s="293"/>
      <c r="R181" s="5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>
        <v>1</v>
      </c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194">
        <f>IF($G181="Youth 0-3",1,0)</f>
        <v>0</v>
      </c>
      <c r="AY181" s="194">
        <f>IF($G181="Youth 4-11",1,0)</f>
        <v>0</v>
      </c>
      <c r="AZ181" s="194">
        <f>IF($G181="Youth 12-15",1,0)</f>
        <v>0</v>
      </c>
      <c r="BA181" s="194">
        <f>IF($G181="Addict",1,0)</f>
        <v>0</v>
      </c>
      <c r="BB181" s="194">
        <f>IF($G181="Non-Addict",1,0)</f>
        <v>1</v>
      </c>
      <c r="BC181" s="194">
        <f>IF($G181="Free Reg Certificate",1,0)</f>
        <v>0</v>
      </c>
      <c r="BD181" s="194">
        <f>IF($G181="Newcomer",1,0)</f>
        <v>0</v>
      </c>
      <c r="BE181" s="194">
        <f>IF($G181="Committee",1,0)</f>
        <v>0</v>
      </c>
      <c r="BF181" s="194">
        <f>IF($G181="Treatment",1,0)</f>
        <v>0</v>
      </c>
      <c r="BG181" s="194">
        <f>IF($G181="Meeting Sponsored",1,0)</f>
        <v>0</v>
      </c>
      <c r="BH181" s="194">
        <f>IF($G181="Programming",1,0)</f>
        <v>0</v>
      </c>
      <c r="BI181" s="194">
        <f>IF($G181="Hardship",1,0)</f>
        <v>0</v>
      </c>
      <c r="BJ181" s="194">
        <f>IF($G181="Refund",1,0)</f>
        <v>0</v>
      </c>
      <c r="BK181" s="194">
        <f>IF($G181="Vermilion Bucks",1,0)</f>
        <v>0</v>
      </c>
      <c r="BL181" s="194">
        <f>IF($G181="Other",1,0)</f>
        <v>0</v>
      </c>
      <c r="BM181" s="286"/>
      <c r="BN181" s="286"/>
      <c r="BO181" s="286">
        <f>SUM(AX181:BL181)</f>
        <v>1</v>
      </c>
      <c r="BP181" s="287">
        <f>SUM(R181:AW181)</f>
        <v>1</v>
      </c>
      <c r="BQ181" s="287">
        <f>+BO181+BP181</f>
        <v>2</v>
      </c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</row>
    <row r="182" spans="1:85" x14ac:dyDescent="0.2">
      <c r="A182" s="294" t="s">
        <v>438</v>
      </c>
      <c r="B182" s="177"/>
      <c r="C182" s="5">
        <v>230</v>
      </c>
      <c r="D182" s="6">
        <v>43355</v>
      </c>
      <c r="E182" s="284">
        <f>IF($D182 = 0,0,DATEDIF($D182,$D$7,"D"))</f>
        <v>1095</v>
      </c>
      <c r="F182" s="193">
        <f>((R182*$R$2)+(S182*$S$2)+(T182*$T$2)++(U182*$U$2)++(V182*$V$2)++(W182*$W$2)++(X182*$X$2)++(Y182*$Y$2)+(Z182*$Z$2)+(AA182*$AA$2)+(AB182*$AB$2)+(AC182*$AC$2)+(AD182*$AD$2)+(AE182*$AE$2)+(AF182*$AF$2)+(AG182*$AG$2)+(AH182*$AH$2)+(AI182*$AI$2)+(AJ182*$AJ$2)+(AK182*$AK$2)+(AL182*$AL$2)+(AM182*$AM$2)+(AN182*$AN$2)+(AO182*$AO$2)+(AP182*$AP$2)+(AQ182*$AQ$2)+(AR182*$AR$2)+(AS182*$AS$2)+(AT182*$AT$2)+(AU182*$AU$2)+(AV182*$AV$2)+(AW182*$AW$2))</f>
        <v>100</v>
      </c>
      <c r="G182" s="8" t="s">
        <v>38</v>
      </c>
      <c r="H182" s="9"/>
      <c r="I182" s="9"/>
      <c r="J182" s="9"/>
      <c r="K182" s="93">
        <f>+F182-I182+J182-H182</f>
        <v>100</v>
      </c>
      <c r="L182" s="64">
        <v>100</v>
      </c>
      <c r="M182" s="275">
        <f>+K182-L182</f>
        <v>0</v>
      </c>
      <c r="N182" s="275"/>
      <c r="O182" s="275"/>
      <c r="P182" s="253"/>
      <c r="Q182" s="293"/>
      <c r="R182" s="5"/>
      <c r="S182" s="8">
        <v>1</v>
      </c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194">
        <f>IF($G182="Youth 0-3",1,0)</f>
        <v>0</v>
      </c>
      <c r="AY182" s="194">
        <f>IF($G182="Youth 4-11",1,0)</f>
        <v>0</v>
      </c>
      <c r="AZ182" s="194">
        <f>IF($G182="Youth 12-15",1,0)</f>
        <v>0</v>
      </c>
      <c r="BA182" s="194">
        <f>IF($G182="Addict",1,0)</f>
        <v>1</v>
      </c>
      <c r="BB182" s="194">
        <f>IF($G182="Non-Addict",1,0)</f>
        <v>0</v>
      </c>
      <c r="BC182" s="194">
        <f>IF($G182="Free Reg Certificate",1,0)</f>
        <v>0</v>
      </c>
      <c r="BD182" s="194">
        <f>IF($G182="Newcomer",1,0)</f>
        <v>0</v>
      </c>
      <c r="BE182" s="194">
        <f>IF($G182="Committee",1,0)</f>
        <v>0</v>
      </c>
      <c r="BF182" s="194">
        <f>IF($G182="Treatment",1,0)</f>
        <v>0</v>
      </c>
      <c r="BG182" s="194">
        <f>IF($G182="Meeting Sponsored",1,0)</f>
        <v>0</v>
      </c>
      <c r="BH182" s="194">
        <f>IF($G182="Programming",1,0)</f>
        <v>0</v>
      </c>
      <c r="BI182" s="194">
        <f>IF($G182="Hardship",1,0)</f>
        <v>0</v>
      </c>
      <c r="BJ182" s="194">
        <f>IF($G182="Refund",1,0)</f>
        <v>0</v>
      </c>
      <c r="BK182" s="194">
        <f>IF($G182="Vermilion Bucks",1,0)</f>
        <v>0</v>
      </c>
      <c r="BL182" s="194">
        <f>IF($G182="Other",1,0)</f>
        <v>0</v>
      </c>
      <c r="BM182" s="286"/>
      <c r="BN182" s="286"/>
      <c r="BO182" s="286">
        <f>SUM(AX182:BL182)</f>
        <v>1</v>
      </c>
      <c r="BP182" s="287">
        <f>SUM(R182:AW182)</f>
        <v>1</v>
      </c>
      <c r="BQ182" s="287">
        <f>+BO182+BP182</f>
        <v>2</v>
      </c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</row>
    <row r="183" spans="1:85" x14ac:dyDescent="0.2">
      <c r="A183" s="294" t="s">
        <v>421</v>
      </c>
      <c r="B183" s="283" t="s">
        <v>435</v>
      </c>
      <c r="C183" s="5">
        <v>81</v>
      </c>
      <c r="D183" s="6">
        <v>44239</v>
      </c>
      <c r="E183" s="284">
        <f>IF($D183 = 0,0,DATEDIF($D183,$D$7,"D"))</f>
        <v>211</v>
      </c>
      <c r="F183" s="193">
        <f>((R183*$R$2)+(S183*$S$2)+(T183*$T$2)++(U183*$U$2)++(V183*$V$2)++(W183*$W$2)++(X183*$X$2)++(Y183*$Y$2)+(Z183*$Z$2)+(AA183*$AA$2)+(AB183*$AB$2)+(AC183*$AC$2)+(AD183*$AD$2)+(AE183*$AE$2)+(AF183*$AF$2)+(AG183*$AG$2)+(AH183*$AH$2)+(AI183*$AI$2)+(AJ183*$AJ$2)+(AK183*$AK$2)+(AL183*$AL$2)+(AM183*$AM$2)+(AN183*$AN$2)+(AO183*$AO$2)+(AP183*$AP$2)+(AQ183*$AQ$2)+(AR183*$AR$2)+(AS183*$AS$2)+(AT183*$AT$2)+(AU183*$AU$2)+(AV183*$AV$2)+(AW183*$AW$2))</f>
        <v>125</v>
      </c>
      <c r="G183" s="8" t="s">
        <v>42</v>
      </c>
      <c r="H183" s="9">
        <v>125</v>
      </c>
      <c r="I183" s="9"/>
      <c r="J183" s="9"/>
      <c r="K183" s="93">
        <f>+F183-I183+J183-H183</f>
        <v>0</v>
      </c>
      <c r="L183" s="64">
        <v>0</v>
      </c>
      <c r="M183" s="275">
        <f>+K183-L183</f>
        <v>0</v>
      </c>
      <c r="N183" s="275"/>
      <c r="O183" s="275"/>
      <c r="P183" s="253"/>
      <c r="Q183" s="293"/>
      <c r="R183" s="5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>
        <v>1</v>
      </c>
      <c r="AO183" s="8"/>
      <c r="AP183" s="8"/>
      <c r="AQ183" s="8"/>
      <c r="AR183" s="8"/>
      <c r="AS183" s="8"/>
      <c r="AT183" s="8"/>
      <c r="AU183" s="8"/>
      <c r="AV183" s="8"/>
      <c r="AW183" s="8"/>
      <c r="AX183" s="194">
        <f>IF($G183="Youth 0-3",1,0)</f>
        <v>0</v>
      </c>
      <c r="AY183" s="194">
        <f>IF($G183="Youth 4-11",1,0)</f>
        <v>0</v>
      </c>
      <c r="AZ183" s="194">
        <f>IF($G183="Youth 12-15",1,0)</f>
        <v>0</v>
      </c>
      <c r="BA183" s="194">
        <f>IF($G183="Addict",1,0)</f>
        <v>0</v>
      </c>
      <c r="BB183" s="194">
        <f>IF($G183="Non-Addict",1,0)</f>
        <v>0</v>
      </c>
      <c r="BC183" s="194">
        <f>IF($G183="Free Reg Certificate",1,0)</f>
        <v>1</v>
      </c>
      <c r="BD183" s="194">
        <f>IF($G183="Newcomer",1,0)</f>
        <v>0</v>
      </c>
      <c r="BE183" s="194">
        <f>IF($G183="Committee",1,0)</f>
        <v>0</v>
      </c>
      <c r="BF183" s="194">
        <f>IF($G183="Treatment",1,0)</f>
        <v>0</v>
      </c>
      <c r="BG183" s="194">
        <f>IF($G183="Meeting Sponsored",1,0)</f>
        <v>0</v>
      </c>
      <c r="BH183" s="194">
        <f>IF($G183="Programming",1,0)</f>
        <v>0</v>
      </c>
      <c r="BI183" s="194">
        <f>IF($G183="Hardship",1,0)</f>
        <v>0</v>
      </c>
      <c r="BJ183" s="194">
        <f>IF($G183="Refund",1,0)</f>
        <v>0</v>
      </c>
      <c r="BK183" s="194">
        <f>IF($G183="Vermilion Bucks",1,0)</f>
        <v>0</v>
      </c>
      <c r="BL183" s="194">
        <f>IF($G183="Other",1,0)</f>
        <v>0</v>
      </c>
      <c r="BM183" s="286"/>
      <c r="BN183" s="286"/>
      <c r="BO183" s="286">
        <f>SUM(AX183:BL183)</f>
        <v>1</v>
      </c>
      <c r="BP183" s="287">
        <f>SUM(R183:AW183)</f>
        <v>1</v>
      </c>
      <c r="BQ183" s="287">
        <f>+BO183+BP183</f>
        <v>2</v>
      </c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</row>
    <row r="184" spans="1:85" x14ac:dyDescent="0.2">
      <c r="A184" s="294" t="s">
        <v>350</v>
      </c>
      <c r="B184" s="283" t="s">
        <v>349</v>
      </c>
      <c r="C184" s="5">
        <v>100</v>
      </c>
      <c r="D184" s="6">
        <v>44449</v>
      </c>
      <c r="E184" s="284">
        <f>IF($D184 = 0,0,DATEDIF($D184,$D$7,"D"))</f>
        <v>1</v>
      </c>
      <c r="F184" s="193">
        <f>((R184*$R$2)+(S184*$S$2)+(T184*$T$2)++(U184*$U$2)++(V184*$V$2)++(W184*$W$2)++(X184*$X$2)++(Y184*$Y$2)+(Z184*$Z$2)+(AA184*$AA$2)+(AB184*$AB$2)+(AC184*$AC$2)+(AD184*$AD$2)+(AE184*$AE$2)+(AF184*$AF$2)+(AG184*$AG$2)+(AH184*$AH$2)+(AI184*$AI$2)+(AJ184*$AJ$2)+(AK184*$AK$2)+(AL184*$AL$2)+(AM184*$AM$2)+(AN184*$AN$2)+(AO184*$AO$2)+(AP184*$AP$2)+(AQ184*$AQ$2)+(AR184*$AR$2)+(AS184*$AS$2)+(AT184*$AT$2)+(AU184*$AU$2)+(AV184*$AV$2)+(AW184*$AW$2))</f>
        <v>125</v>
      </c>
      <c r="G184" s="8" t="s">
        <v>6</v>
      </c>
      <c r="H184" s="9">
        <v>25</v>
      </c>
      <c r="I184" s="9"/>
      <c r="J184" s="9"/>
      <c r="K184" s="93">
        <f>+F184-I184+J184-H184</f>
        <v>100</v>
      </c>
      <c r="L184" s="64">
        <v>100</v>
      </c>
      <c r="M184" s="275">
        <f>+K184-L184</f>
        <v>0</v>
      </c>
      <c r="N184" s="275"/>
      <c r="O184" s="275"/>
      <c r="P184" s="253"/>
      <c r="Q184" s="293"/>
      <c r="R184" s="5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>
        <v>1</v>
      </c>
      <c r="AO184" s="8"/>
      <c r="AP184" s="8"/>
      <c r="AQ184" s="8"/>
      <c r="AR184" s="8"/>
      <c r="AS184" s="8"/>
      <c r="AT184" s="8"/>
      <c r="AU184" s="8"/>
      <c r="AV184" s="8"/>
      <c r="AW184" s="8"/>
      <c r="AX184" s="194">
        <f>IF($G184="Youth 0-3",1,0)</f>
        <v>0</v>
      </c>
      <c r="AY184" s="194">
        <f>IF($G184="Youth 4-11",1,0)</f>
        <v>0</v>
      </c>
      <c r="AZ184" s="194">
        <f>IF($G184="Youth 12-15",1,0)</f>
        <v>0</v>
      </c>
      <c r="BA184" s="194">
        <f>IF($G184="Addict",1,0)</f>
        <v>0</v>
      </c>
      <c r="BB184" s="194">
        <f>IF($G184="Non-Addict",1,0)</f>
        <v>0</v>
      </c>
      <c r="BC184" s="194">
        <f>IF($G184="Free Reg Certificate",1,0)</f>
        <v>0</v>
      </c>
      <c r="BD184" s="194">
        <f>IF($G184="Newcomer",1,0)</f>
        <v>0</v>
      </c>
      <c r="BE184" s="194">
        <f>IF($G184="Committee",1,0)</f>
        <v>1</v>
      </c>
      <c r="BF184" s="194">
        <f>IF($G184="Treatment",1,0)</f>
        <v>0</v>
      </c>
      <c r="BG184" s="194">
        <f>IF($G184="Meeting Sponsored",1,0)</f>
        <v>0</v>
      </c>
      <c r="BH184" s="194">
        <f>IF($G184="Programming",1,0)</f>
        <v>0</v>
      </c>
      <c r="BI184" s="194">
        <f>IF($G184="Hardship",1,0)</f>
        <v>0</v>
      </c>
      <c r="BJ184" s="194">
        <f>IF($G184="Refund",1,0)</f>
        <v>0</v>
      </c>
      <c r="BK184" s="194">
        <f>IF($G184="Vermilion Bucks",1,0)</f>
        <v>0</v>
      </c>
      <c r="BL184" s="194">
        <f>IF($G184="Other",1,0)</f>
        <v>0</v>
      </c>
      <c r="BM184" s="286"/>
      <c r="BN184" s="286"/>
      <c r="BO184" s="286">
        <f>SUM(AX184:BL184)</f>
        <v>1</v>
      </c>
      <c r="BP184" s="287">
        <f>SUM(R184:AW184)</f>
        <v>1</v>
      </c>
      <c r="BQ184" s="287">
        <f>+BO184+BP184</f>
        <v>2</v>
      </c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</row>
    <row r="185" spans="1:85" x14ac:dyDescent="0.2">
      <c r="A185" s="294" t="s">
        <v>361</v>
      </c>
      <c r="B185" s="283" t="s">
        <v>382</v>
      </c>
      <c r="C185" s="5">
        <v>206</v>
      </c>
      <c r="D185" s="6">
        <v>39356</v>
      </c>
      <c r="E185" s="284">
        <f>IF($D185 = 0,0,DATEDIF($D185,$D$7,"D"))</f>
        <v>5094</v>
      </c>
      <c r="F185" s="193">
        <f>((R185*$R$2)+(S185*$S$2)+(T185*$T$2)++(U185*$U$2)++(V185*$V$2)++(W185*$W$2)++(X185*$X$2)++(Y185*$Y$2)+(Z185*$Z$2)+(AA185*$AA$2)+(AB185*$AB$2)+(AC185*$AC$2)+(AD185*$AD$2)+(AE185*$AE$2)+(AF185*$AF$2)+(AG185*$AG$2)+(AH185*$AH$2)+(AI185*$AI$2)+(AJ185*$AJ$2)+(AK185*$AK$2)+(AL185*$AL$2)+(AM185*$AM$2)+(AN185*$AN$2)+(AO185*$AO$2)+(AP185*$AP$2)+(AQ185*$AQ$2)+(AR185*$AR$2)+(AS185*$AS$2)+(AT185*$AT$2)+(AU185*$AU$2)+(AV185*$AV$2)+(AW185*$AW$2))</f>
        <v>125</v>
      </c>
      <c r="G185" s="8" t="s">
        <v>38</v>
      </c>
      <c r="H185" s="9"/>
      <c r="I185" s="9"/>
      <c r="J185" s="9"/>
      <c r="K185" s="93">
        <f>+F185-I185+J185-H185</f>
        <v>125</v>
      </c>
      <c r="L185" s="64">
        <v>125</v>
      </c>
      <c r="M185" s="275">
        <f>+K185-L185</f>
        <v>0</v>
      </c>
      <c r="N185" s="275"/>
      <c r="O185" s="275"/>
      <c r="P185" s="253"/>
      <c r="Q185" s="293"/>
      <c r="R185" s="5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>
        <v>1</v>
      </c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194">
        <f>IF($G185="Youth 0-3",1,0)</f>
        <v>0</v>
      </c>
      <c r="AY185" s="194">
        <f>IF($G185="Youth 4-11",1,0)</f>
        <v>0</v>
      </c>
      <c r="AZ185" s="194">
        <f>IF($G185="Youth 12-15",1,0)</f>
        <v>0</v>
      </c>
      <c r="BA185" s="194">
        <f>IF($G185="Addict",1,0)</f>
        <v>1</v>
      </c>
      <c r="BB185" s="194">
        <f>IF($G185="Non-Addict",1,0)</f>
        <v>0</v>
      </c>
      <c r="BC185" s="194">
        <f>IF($G185="Free Reg Certificate",1,0)</f>
        <v>0</v>
      </c>
      <c r="BD185" s="194">
        <f>IF($G185="Newcomer",1,0)</f>
        <v>0</v>
      </c>
      <c r="BE185" s="194">
        <f>IF($G185="Committee",1,0)</f>
        <v>0</v>
      </c>
      <c r="BF185" s="194">
        <f>IF($G185="Treatment",1,0)</f>
        <v>0</v>
      </c>
      <c r="BG185" s="194">
        <f>IF($G185="Meeting Sponsored",1,0)</f>
        <v>0</v>
      </c>
      <c r="BH185" s="194">
        <f>IF($G185="Programming",1,0)</f>
        <v>0</v>
      </c>
      <c r="BI185" s="194">
        <f>IF($G185="Hardship",1,0)</f>
        <v>0</v>
      </c>
      <c r="BJ185" s="194">
        <f>IF($G185="Refund",1,0)</f>
        <v>0</v>
      </c>
      <c r="BK185" s="194">
        <f>IF($G185="Vermilion Bucks",1,0)</f>
        <v>0</v>
      </c>
      <c r="BL185" s="194">
        <f>IF($G185="Other",1,0)</f>
        <v>0</v>
      </c>
      <c r="BM185" s="286"/>
      <c r="BN185" s="286"/>
      <c r="BO185" s="286">
        <f>SUM(AX185:BL185)</f>
        <v>1</v>
      </c>
      <c r="BP185" s="287">
        <f>SUM(R185:AW185)</f>
        <v>1</v>
      </c>
      <c r="BQ185" s="287">
        <f>+BO185+BP185</f>
        <v>2</v>
      </c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</row>
    <row r="186" spans="1:85" x14ac:dyDescent="0.2">
      <c r="A186" s="294" t="s">
        <v>403</v>
      </c>
      <c r="B186" s="177"/>
      <c r="C186" s="5">
        <v>265</v>
      </c>
      <c r="D186" s="6">
        <v>38595</v>
      </c>
      <c r="E186" s="284">
        <f>IF($D186 = 0,0,DATEDIF($D186,$D$7,"D"))</f>
        <v>5855</v>
      </c>
      <c r="F186" s="193">
        <f>((R186*$R$2)+(S186*$S$2)+(T186*$T$2)++(U186*$U$2)++(V186*$V$2)++(W186*$W$2)++(X186*$X$2)++(Y186*$Y$2)+(Z186*$Z$2)+(AA186*$AA$2)+(AB186*$AB$2)+(AC186*$AC$2)+(AD186*$AD$2)+(AE186*$AE$2)+(AF186*$AF$2)+(AG186*$AG$2)+(AH186*$AH$2)+(AI186*$AI$2)+(AJ186*$AJ$2)+(AK186*$AK$2)+(AL186*$AL$2)+(AM186*$AM$2)+(AN186*$AN$2)+(AO186*$AO$2)+(AP186*$AP$2)+(AQ186*$AQ$2)+(AR186*$AR$2)+(AS186*$AS$2)+(AT186*$AT$2)+(AU186*$AU$2)+(AV186*$AV$2)+(AW186*$AW$2))</f>
        <v>125</v>
      </c>
      <c r="G186" s="8" t="s">
        <v>38</v>
      </c>
      <c r="H186" s="9"/>
      <c r="I186" s="9"/>
      <c r="J186" s="9"/>
      <c r="K186" s="93">
        <f>+F186-I186+J186-H186</f>
        <v>125</v>
      </c>
      <c r="L186" s="64">
        <v>125</v>
      </c>
      <c r="M186" s="275">
        <f>+K186-L186</f>
        <v>0</v>
      </c>
      <c r="N186" s="275"/>
      <c r="O186" s="275"/>
      <c r="P186" s="253"/>
      <c r="Q186" s="293"/>
      <c r="R186" s="5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>
        <v>1</v>
      </c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194">
        <f>IF($G186="Youth 0-3",1,0)</f>
        <v>0</v>
      </c>
      <c r="AY186" s="194">
        <f>IF($G186="Youth 4-11",1,0)</f>
        <v>0</v>
      </c>
      <c r="AZ186" s="194">
        <f>IF($G186="Youth 12-15",1,0)</f>
        <v>0</v>
      </c>
      <c r="BA186" s="194">
        <f>IF($G186="Addict",1,0)</f>
        <v>1</v>
      </c>
      <c r="BB186" s="194">
        <f>IF($G186="Non-Addict",1,0)</f>
        <v>0</v>
      </c>
      <c r="BC186" s="194">
        <f>IF($G186="Free Reg Certificate",1,0)</f>
        <v>0</v>
      </c>
      <c r="BD186" s="194">
        <f>IF($G186="Newcomer",1,0)</f>
        <v>0</v>
      </c>
      <c r="BE186" s="194">
        <f>IF($G186="Committee",1,0)</f>
        <v>0</v>
      </c>
      <c r="BF186" s="194">
        <f>IF($G186="Treatment",1,0)</f>
        <v>0</v>
      </c>
      <c r="BG186" s="194">
        <f>IF($G186="Meeting Sponsored",1,0)</f>
        <v>0</v>
      </c>
      <c r="BH186" s="194">
        <f>IF($G186="Programming",1,0)</f>
        <v>0</v>
      </c>
      <c r="BI186" s="194">
        <f>IF($G186="Hardship",1,0)</f>
        <v>0</v>
      </c>
      <c r="BJ186" s="194">
        <f>IF($G186="Refund",1,0)</f>
        <v>0</v>
      </c>
      <c r="BK186" s="194">
        <f>IF($G186="Vermilion Bucks",1,0)</f>
        <v>0</v>
      </c>
      <c r="BL186" s="194">
        <f>IF($G186="Other",1,0)</f>
        <v>0</v>
      </c>
      <c r="BM186" s="286"/>
      <c r="BN186" s="286"/>
      <c r="BO186" s="286">
        <f>SUM(AX186:BL186)</f>
        <v>1</v>
      </c>
      <c r="BP186" s="287">
        <f>SUM(R186:AW186)</f>
        <v>1</v>
      </c>
      <c r="BQ186" s="287">
        <f>+BO186+BP186</f>
        <v>2</v>
      </c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</row>
    <row r="187" spans="1:85" x14ac:dyDescent="0.2">
      <c r="A187" s="294" t="s">
        <v>362</v>
      </c>
      <c r="B187" s="177"/>
      <c r="C187" s="5"/>
      <c r="D187" s="6"/>
      <c r="E187" s="284">
        <f>IF($D187 = 0,0,DATEDIF($D187,$D$7,"D"))</f>
        <v>0</v>
      </c>
      <c r="F187" s="193">
        <f>((R187*$R$2)+(S187*$S$2)+(T187*$T$2)++(U187*$U$2)++(V187*$V$2)++(W187*$W$2)++(X187*$X$2)++(Y187*$Y$2)+(Z187*$Z$2)+(AA187*$AA$2)+(AB187*$AB$2)+(AC187*$AC$2)+(AD187*$AD$2)+(AE187*$AE$2)+(AF187*$AF$2)+(AG187*$AG$2)+(AH187*$AH$2)+(AI187*$AI$2)+(AJ187*$AJ$2)+(AK187*$AK$2)+(AL187*$AL$2)+(AM187*$AM$2)+(AN187*$AN$2)+(AO187*$AO$2)+(AP187*$AP$2)+(AQ187*$AQ$2)+(AR187*$AR$2)+(AS187*$AS$2)+(AT187*$AT$2)+(AU187*$AU$2)+(AV187*$AV$2)+(AW187*$AW$2))</f>
        <v>125</v>
      </c>
      <c r="G187" s="8" t="s">
        <v>95</v>
      </c>
      <c r="H187" s="9"/>
      <c r="I187" s="9">
        <v>75</v>
      </c>
      <c r="J187" s="9"/>
      <c r="K187" s="93">
        <f>+F187-I187+J187-H187</f>
        <v>50</v>
      </c>
      <c r="L187" s="64">
        <v>50</v>
      </c>
      <c r="M187" s="253">
        <f>+K187-L187</f>
        <v>0</v>
      </c>
      <c r="N187" s="253"/>
      <c r="O187" s="253"/>
      <c r="P187" s="253"/>
      <c r="Q187" s="271"/>
      <c r="R187" s="5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>
        <v>1</v>
      </c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194">
        <f>IF($G187="Youth 0-3",1,0)</f>
        <v>0</v>
      </c>
      <c r="AY187" s="194">
        <f>IF($G187="Youth 4-11",1,0)</f>
        <v>1</v>
      </c>
      <c r="AZ187" s="194">
        <f>IF($G187="Youth 12-15",1,0)</f>
        <v>0</v>
      </c>
      <c r="BA187" s="194">
        <f>IF($G187="Addict",1,0)</f>
        <v>0</v>
      </c>
      <c r="BB187" s="194">
        <f>IF($G187="Non-Addict",1,0)</f>
        <v>0</v>
      </c>
      <c r="BC187" s="194">
        <f>IF($G187="Free Reg Certificate",1,0)</f>
        <v>0</v>
      </c>
      <c r="BD187" s="194">
        <f>IF($G187="Newcomer",1,0)</f>
        <v>0</v>
      </c>
      <c r="BE187" s="194">
        <f>IF($G187="Committee",1,0)</f>
        <v>0</v>
      </c>
      <c r="BF187" s="194">
        <f>IF($G187="Treatment",1,0)</f>
        <v>0</v>
      </c>
      <c r="BG187" s="194">
        <f>IF($G187="Meeting Sponsored",1,0)</f>
        <v>0</v>
      </c>
      <c r="BH187" s="194">
        <f>IF($G187="Programming",1,0)</f>
        <v>0</v>
      </c>
      <c r="BI187" s="194">
        <f>IF($G187="Hardship",1,0)</f>
        <v>0</v>
      </c>
      <c r="BJ187" s="194">
        <f>IF($G187="Refund",1,0)</f>
        <v>0</v>
      </c>
      <c r="BK187" s="194">
        <f>IF($G187="Vermilion Bucks",1,0)</f>
        <v>0</v>
      </c>
      <c r="BL187" s="194">
        <f>IF($G187="Other",1,0)</f>
        <v>0</v>
      </c>
      <c r="BM187" s="286"/>
      <c r="BN187" s="286"/>
      <c r="BO187" s="286">
        <f>SUM(AX187:BL187)</f>
        <v>1</v>
      </c>
      <c r="BP187" s="287">
        <f>SUM(R187:AW187)</f>
        <v>1</v>
      </c>
      <c r="BQ187" s="287">
        <f>+BO187+BP187</f>
        <v>2</v>
      </c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</row>
    <row r="188" spans="1:85" x14ac:dyDescent="0.2">
      <c r="A188" s="294" t="s">
        <v>344</v>
      </c>
      <c r="B188" s="283" t="s">
        <v>345</v>
      </c>
      <c r="C188" s="5">
        <v>98</v>
      </c>
      <c r="D188" s="6">
        <v>34073</v>
      </c>
      <c r="E188" s="284">
        <f>IF($D188 = 0,0,DATEDIF($D188,$D$7,"D"))</f>
        <v>10377</v>
      </c>
      <c r="F188" s="193">
        <f>((R188*$R$2)+(S188*$S$2)+(T188*$T$2)++(U188*$U$2)++(V188*$V$2)++(W188*$W$2)++(X188*$X$2)++(Y188*$Y$2)+(Z188*$Z$2)+(AA188*$AA$2)+(AB188*$AB$2)+(AC188*$AC$2)+(AD188*$AD$2)+(AE188*$AE$2)+(AF188*$AF$2)+(AG188*$AG$2)+(AH188*$AH$2)+(AI188*$AI$2)+(AJ188*$AJ$2)+(AK188*$AK$2)+(AL188*$AL$2)+(AM188*$AM$2)+(AN188*$AN$2)+(AO188*$AO$2)+(AP188*$AP$2)+(AQ188*$AQ$2)+(AR188*$AR$2)+(AS188*$AS$2)+(AT188*$AT$2)+(AU188*$AU$2)+(AV188*$AV$2)+(AW188*$AW$2))</f>
        <v>110</v>
      </c>
      <c r="G188" s="8" t="s">
        <v>6</v>
      </c>
      <c r="H188" s="9">
        <v>25</v>
      </c>
      <c r="I188" s="9"/>
      <c r="J188" s="9"/>
      <c r="K188" s="93">
        <f>+F188-I188+J188-H188</f>
        <v>85</v>
      </c>
      <c r="L188" s="64">
        <v>85</v>
      </c>
      <c r="M188" s="275">
        <f>+K188-L188</f>
        <v>0</v>
      </c>
      <c r="N188" s="275"/>
      <c r="O188" s="275"/>
      <c r="P188" s="253"/>
      <c r="Q188" s="293"/>
      <c r="R188" s="5"/>
      <c r="S188" s="8"/>
      <c r="T188" s="8">
        <v>1</v>
      </c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194">
        <f>IF($G188="Youth 0-3",1,0)</f>
        <v>0</v>
      </c>
      <c r="AY188" s="194">
        <f>IF($G188="Youth 4-11",1,0)</f>
        <v>0</v>
      </c>
      <c r="AZ188" s="194">
        <f>IF($G188="Youth 12-15",1,0)</f>
        <v>0</v>
      </c>
      <c r="BA188" s="194">
        <f>IF($G188="Addict",1,0)</f>
        <v>0</v>
      </c>
      <c r="BB188" s="194">
        <f>IF($G188="Non-Addict",1,0)</f>
        <v>0</v>
      </c>
      <c r="BC188" s="194">
        <f>IF($G188="Free Reg Certificate",1,0)</f>
        <v>0</v>
      </c>
      <c r="BD188" s="194">
        <f>IF($G188="Newcomer",1,0)</f>
        <v>0</v>
      </c>
      <c r="BE188" s="194">
        <f>IF($G188="Committee",1,0)</f>
        <v>1</v>
      </c>
      <c r="BF188" s="194">
        <f>IF($G188="Treatment",1,0)</f>
        <v>0</v>
      </c>
      <c r="BG188" s="194">
        <f>IF($G188="Meeting Sponsored",1,0)</f>
        <v>0</v>
      </c>
      <c r="BH188" s="194">
        <f>IF($G188="Programming",1,0)</f>
        <v>0</v>
      </c>
      <c r="BI188" s="194">
        <f>IF($G188="Hardship",1,0)</f>
        <v>0</v>
      </c>
      <c r="BJ188" s="194">
        <f>IF($G188="Refund",1,0)</f>
        <v>0</v>
      </c>
      <c r="BK188" s="194">
        <f>IF($G188="Vermilion Bucks",1,0)</f>
        <v>0</v>
      </c>
      <c r="BL188" s="194">
        <f>IF($G188="Other",1,0)</f>
        <v>0</v>
      </c>
      <c r="BM188" s="286"/>
      <c r="BN188" s="286"/>
      <c r="BO188" s="286">
        <f>SUM(AX188:BL188)</f>
        <v>1</v>
      </c>
      <c r="BP188" s="287">
        <f>SUM(R188:AW188)</f>
        <v>1</v>
      </c>
      <c r="BQ188" s="287">
        <f>+BO188+BP188</f>
        <v>2</v>
      </c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</row>
    <row r="189" spans="1:85" x14ac:dyDescent="0.2">
      <c r="A189" s="294" t="s">
        <v>377</v>
      </c>
      <c r="B189" s="283" t="s">
        <v>453</v>
      </c>
      <c r="C189" s="5">
        <v>208</v>
      </c>
      <c r="D189" s="6">
        <v>42445</v>
      </c>
      <c r="E189" s="284">
        <f>IF($D189 = 0,0,DATEDIF($D189,$D$7,"D"))</f>
        <v>2005</v>
      </c>
      <c r="F189" s="193">
        <f>((R189*$R$2)+(S189*$S$2)+(T189*$T$2)++(U189*$U$2)++(V189*$V$2)++(W189*$W$2)++(X189*$X$2)++(Y189*$Y$2)+(Z189*$Z$2)+(AA189*$AA$2)+(AB189*$AB$2)+(AC189*$AC$2)+(AD189*$AD$2)+(AE189*$AE$2)+(AF189*$AF$2)+(AG189*$AG$2)+(AH189*$AH$2)+(AI189*$AI$2)+(AJ189*$AJ$2)+(AK189*$AK$2)+(AL189*$AL$2)+(AM189*$AM$2)+(AN189*$AN$2)+(AO189*$AO$2)+(AP189*$AP$2)+(AQ189*$AQ$2)+(AR189*$AR$2)+(AS189*$AS$2)+(AT189*$AT$2)+(AU189*$AU$2)+(AV189*$AV$2)+(AW189*$AW$2))</f>
        <v>100</v>
      </c>
      <c r="G189" s="8" t="s">
        <v>38</v>
      </c>
      <c r="H189" s="9"/>
      <c r="I189" s="9"/>
      <c r="J189" s="9">
        <v>50</v>
      </c>
      <c r="K189" s="93">
        <f>+F189-I189+J189-H189</f>
        <v>150</v>
      </c>
      <c r="L189" s="64">
        <v>150</v>
      </c>
      <c r="M189" s="275">
        <f>+K189-L189</f>
        <v>0</v>
      </c>
      <c r="N189" s="275"/>
      <c r="O189" s="275"/>
      <c r="P189" s="253"/>
      <c r="Q189" s="293"/>
      <c r="R189" s="5"/>
      <c r="S189" s="8">
        <v>1</v>
      </c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194">
        <f>IF($G189="Youth 0-3",1,0)</f>
        <v>0</v>
      </c>
      <c r="AY189" s="194">
        <f>IF($G189="Youth 4-11",1,0)</f>
        <v>0</v>
      </c>
      <c r="AZ189" s="194">
        <f>IF($G189="Youth 12-15",1,0)</f>
        <v>0</v>
      </c>
      <c r="BA189" s="194">
        <f>IF($G189="Addict",1,0)</f>
        <v>1</v>
      </c>
      <c r="BB189" s="194">
        <f>IF($G189="Non-Addict",1,0)</f>
        <v>0</v>
      </c>
      <c r="BC189" s="194">
        <f>IF($G189="Free Reg Certificate",1,0)</f>
        <v>0</v>
      </c>
      <c r="BD189" s="194">
        <f>IF($G189="Newcomer",1,0)</f>
        <v>0</v>
      </c>
      <c r="BE189" s="194">
        <f>IF($G189="Committee",1,0)</f>
        <v>0</v>
      </c>
      <c r="BF189" s="194">
        <f>IF($G189="Treatment",1,0)</f>
        <v>0</v>
      </c>
      <c r="BG189" s="194">
        <f>IF($G189="Meeting Sponsored",1,0)</f>
        <v>0</v>
      </c>
      <c r="BH189" s="194">
        <f>IF($G189="Programming",1,0)</f>
        <v>0</v>
      </c>
      <c r="BI189" s="194">
        <f>IF($G189="Hardship",1,0)</f>
        <v>0</v>
      </c>
      <c r="BJ189" s="194">
        <f>IF($G189="Refund",1,0)</f>
        <v>0</v>
      </c>
      <c r="BK189" s="194">
        <f>IF($G189="Vermilion Bucks",1,0)</f>
        <v>0</v>
      </c>
      <c r="BL189" s="194">
        <f>IF($G189="Other",1,0)</f>
        <v>0</v>
      </c>
      <c r="BM189" s="286"/>
      <c r="BN189" s="286"/>
      <c r="BO189" s="286">
        <f>SUM(AX189:BL189)</f>
        <v>1</v>
      </c>
      <c r="BP189" s="287">
        <f>SUM(R189:AW189)</f>
        <v>1</v>
      </c>
      <c r="BQ189" s="287">
        <f>+BO189+BP189</f>
        <v>2</v>
      </c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</row>
    <row r="190" spans="1:85" x14ac:dyDescent="0.2">
      <c r="A190" s="294" t="s">
        <v>364</v>
      </c>
      <c r="B190" s="283" t="s">
        <v>383</v>
      </c>
      <c r="C190" s="5">
        <v>100</v>
      </c>
      <c r="D190" s="6">
        <v>38929</v>
      </c>
      <c r="E190" s="284">
        <f>IF($D190 = 0,0,DATEDIF($D190,$D$7,"D"))</f>
        <v>5521</v>
      </c>
      <c r="F190" s="193">
        <f>((R190*$R$2)+(S190*$S$2)+(T190*$T$2)++(U190*$U$2)++(V190*$V$2)++(W190*$W$2)++(X190*$X$2)++(Y190*$Y$2)+(Z190*$Z$2)+(AA190*$AA$2)+(AB190*$AB$2)+(AC190*$AC$2)+(AD190*$AD$2)+(AE190*$AE$2)+(AF190*$AF$2)+(AG190*$AG$2)+(AH190*$AH$2)+(AI190*$AI$2)+(AJ190*$AJ$2)+(AK190*$AK$2)+(AL190*$AL$2)+(AM190*$AM$2)+(AN190*$AN$2)+(AO190*$AO$2)+(AP190*$AP$2)+(AQ190*$AQ$2)+(AR190*$AR$2)+(AS190*$AS$2)+(AT190*$AT$2)+(AU190*$AU$2)+(AV190*$AV$2)+(AW190*$AW$2))</f>
        <v>100</v>
      </c>
      <c r="G190" s="8" t="s">
        <v>38</v>
      </c>
      <c r="H190" s="9"/>
      <c r="I190" s="9"/>
      <c r="J190" s="9"/>
      <c r="K190" s="93">
        <f>+F190-I190+J190-H190</f>
        <v>100</v>
      </c>
      <c r="L190" s="64">
        <v>100</v>
      </c>
      <c r="M190" s="275">
        <f>+K190-L190</f>
        <v>0</v>
      </c>
      <c r="N190" s="275"/>
      <c r="O190" s="275"/>
      <c r="P190" s="253"/>
      <c r="Q190" s="293"/>
      <c r="R190" s="5"/>
      <c r="S190" s="8">
        <v>1</v>
      </c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194">
        <f>IF($G190="Youth 0-3",1,0)</f>
        <v>0</v>
      </c>
      <c r="AY190" s="194">
        <f>IF($G190="Youth 4-11",1,0)</f>
        <v>0</v>
      </c>
      <c r="AZ190" s="194">
        <f>IF($G190="Youth 12-15",1,0)</f>
        <v>0</v>
      </c>
      <c r="BA190" s="194">
        <f>IF($G190="Addict",1,0)</f>
        <v>1</v>
      </c>
      <c r="BB190" s="194">
        <f>IF($G190="Non-Addict",1,0)</f>
        <v>0</v>
      </c>
      <c r="BC190" s="194">
        <f>IF($G190="Free Reg Certificate",1,0)</f>
        <v>0</v>
      </c>
      <c r="BD190" s="194">
        <f>IF($G190="Newcomer",1,0)</f>
        <v>0</v>
      </c>
      <c r="BE190" s="194">
        <f>IF($G190="Committee",1,0)</f>
        <v>0</v>
      </c>
      <c r="BF190" s="194">
        <f>IF($G190="Treatment",1,0)</f>
        <v>0</v>
      </c>
      <c r="BG190" s="194">
        <f>IF($G190="Meeting Sponsored",1,0)</f>
        <v>0</v>
      </c>
      <c r="BH190" s="194">
        <f>IF($G190="Programming",1,0)</f>
        <v>0</v>
      </c>
      <c r="BI190" s="194">
        <f>IF($G190="Hardship",1,0)</f>
        <v>0</v>
      </c>
      <c r="BJ190" s="194">
        <f>IF($G190="Refund",1,0)</f>
        <v>0</v>
      </c>
      <c r="BK190" s="194">
        <f>IF($G190="Vermilion Bucks",1,0)</f>
        <v>0</v>
      </c>
      <c r="BL190" s="194">
        <f>IF($G190="Other",1,0)</f>
        <v>0</v>
      </c>
      <c r="BM190" s="286"/>
      <c r="BN190" s="286"/>
      <c r="BO190" s="286">
        <f>SUM(AX190:BL190)</f>
        <v>1</v>
      </c>
      <c r="BP190" s="287">
        <f>SUM(R190:AW190)</f>
        <v>1</v>
      </c>
      <c r="BQ190" s="287">
        <f>+BO190+BP190</f>
        <v>2</v>
      </c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</row>
    <row r="191" spans="1:85" x14ac:dyDescent="0.2">
      <c r="A191" s="294" t="s">
        <v>426</v>
      </c>
      <c r="B191" s="177"/>
      <c r="C191" s="5">
        <v>248</v>
      </c>
      <c r="D191" s="6">
        <v>44316</v>
      </c>
      <c r="E191" s="284">
        <f>IF($D191 = 0,0,DATEDIF($D191,$D$7,"D"))</f>
        <v>134</v>
      </c>
      <c r="F191" s="193">
        <f>((R191*$R$2)+(S191*$S$2)+(T191*$T$2)++(U191*$U$2)++(V191*$V$2)++(W191*$W$2)++(X191*$X$2)++(Y191*$Y$2)+(Z191*$Z$2)+(AA191*$AA$2)+(AB191*$AB$2)+(AC191*$AC$2)+(AD191*$AD$2)+(AE191*$AE$2)+(AF191*$AF$2)+(AG191*$AG$2)+(AH191*$AH$2)+(AI191*$AI$2)+(AJ191*$AJ$2)+(AK191*$AK$2)+(AL191*$AL$2)+(AM191*$AM$2)+(AN191*$AN$2)+(AO191*$AO$2)+(AP191*$AP$2)+(AQ191*$AQ$2)+(AR191*$AR$2)+(AS191*$AS$2)+(AT191*$AT$2)+(AU191*$AU$2)+(AV191*$AV$2)+(AW191*$AW$2))</f>
        <v>125</v>
      </c>
      <c r="G191" s="8" t="s">
        <v>38</v>
      </c>
      <c r="H191" s="9"/>
      <c r="I191" s="9"/>
      <c r="J191" s="9"/>
      <c r="K191" s="93">
        <f>+F191-I191+J191-H191</f>
        <v>125</v>
      </c>
      <c r="L191" s="64">
        <v>125</v>
      </c>
      <c r="M191" s="275">
        <f>+K191-L191</f>
        <v>0</v>
      </c>
      <c r="N191" s="275"/>
      <c r="O191" s="275"/>
      <c r="P191" s="253"/>
      <c r="Q191" s="293"/>
      <c r="R191" s="5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>
        <v>1</v>
      </c>
      <c r="AU191" s="8"/>
      <c r="AV191" s="8"/>
      <c r="AW191" s="8"/>
      <c r="AX191" s="194">
        <f>IF($G191="Youth 0-3",1,0)</f>
        <v>0</v>
      </c>
      <c r="AY191" s="194">
        <f>IF($G191="Youth 4-11",1,0)</f>
        <v>0</v>
      </c>
      <c r="AZ191" s="194">
        <f>IF($G191="Youth 12-15",1,0)</f>
        <v>0</v>
      </c>
      <c r="BA191" s="194">
        <f>IF($G191="Addict",1,0)</f>
        <v>1</v>
      </c>
      <c r="BB191" s="194">
        <f>IF($G191="Non-Addict",1,0)</f>
        <v>0</v>
      </c>
      <c r="BC191" s="194">
        <f>IF($G191="Free Reg Certificate",1,0)</f>
        <v>0</v>
      </c>
      <c r="BD191" s="194">
        <f>IF($G191="Newcomer",1,0)</f>
        <v>0</v>
      </c>
      <c r="BE191" s="194">
        <f>IF($G191="Committee",1,0)</f>
        <v>0</v>
      </c>
      <c r="BF191" s="194">
        <f>IF($G191="Treatment",1,0)</f>
        <v>0</v>
      </c>
      <c r="BG191" s="194">
        <f>IF($G191="Meeting Sponsored",1,0)</f>
        <v>0</v>
      </c>
      <c r="BH191" s="194">
        <f>IF($G191="Programming",1,0)</f>
        <v>0</v>
      </c>
      <c r="BI191" s="194">
        <f>IF($G191="Hardship",1,0)</f>
        <v>0</v>
      </c>
      <c r="BJ191" s="194">
        <f>IF($G191="Refund",1,0)</f>
        <v>0</v>
      </c>
      <c r="BK191" s="194">
        <f>IF($G191="Vermilion Bucks",1,0)</f>
        <v>0</v>
      </c>
      <c r="BL191" s="194">
        <f>IF($G191="Other",1,0)</f>
        <v>0</v>
      </c>
      <c r="BM191" s="286"/>
      <c r="BN191" s="286"/>
      <c r="BO191" s="286">
        <f>SUM(AX191:BL191)</f>
        <v>1</v>
      </c>
      <c r="BP191" s="287">
        <f>SUM(R191:AW191)</f>
        <v>1</v>
      </c>
      <c r="BQ191" s="287">
        <f>+BO191+BP191</f>
        <v>2</v>
      </c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</row>
    <row r="192" spans="1:85" x14ac:dyDescent="0.2">
      <c r="A192" s="294" t="s">
        <v>499</v>
      </c>
      <c r="B192" s="283" t="s">
        <v>500</v>
      </c>
      <c r="C192" s="5">
        <v>174</v>
      </c>
      <c r="D192" s="6">
        <v>43766</v>
      </c>
      <c r="E192" s="284">
        <f>IF($D192 = 0,0,DATEDIF($D192,$D$7,"D"))</f>
        <v>684</v>
      </c>
      <c r="F192" s="193">
        <f>((R192*$R$2)+(S192*$S$2)+(T192*$T$2)++(U192*$U$2)++(V192*$V$2)++(W192*$W$2)++(X192*$X$2)++(Y192*$Y$2)+(Z192*$Z$2)+(AA192*$AA$2)+(AB192*$AB$2)+(AC192*$AC$2)+(AD192*$AD$2)+(AE192*$AE$2)+(AF192*$AF$2)+(AG192*$AG$2)+(AH192*$AH$2)+(AI192*$AI$2)+(AJ192*$AJ$2)+(AK192*$AK$2)+(AL192*$AL$2)+(AM192*$AM$2)+(AN192*$AN$2)+(AO192*$AO$2)+(AP192*$AP$2)+(AQ192*$AQ$2)+(AR192*$AR$2)+(AS192*$AS$2)+(AT192*$AT$2)+(AU192*$AU$2)+(AV192*$AV$2)+(AW192*$AW$2))</f>
        <v>125</v>
      </c>
      <c r="G192" s="8" t="s">
        <v>38</v>
      </c>
      <c r="H192" s="9"/>
      <c r="I192" s="9"/>
      <c r="J192" s="9"/>
      <c r="K192" s="93">
        <f>+F192-I192+J192-H192</f>
        <v>125</v>
      </c>
      <c r="L192" s="64">
        <v>125</v>
      </c>
      <c r="M192" s="275">
        <f>+K192-L192</f>
        <v>0</v>
      </c>
      <c r="N192" s="275"/>
      <c r="O192" s="275"/>
      <c r="P192" s="253"/>
      <c r="Q192" s="293"/>
      <c r="R192" s="5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>
        <v>1</v>
      </c>
      <c r="AR192" s="8"/>
      <c r="AS192" s="8"/>
      <c r="AT192" s="8"/>
      <c r="AU192" s="8"/>
      <c r="AV192" s="8"/>
      <c r="AW192" s="8"/>
      <c r="AX192" s="194">
        <f>IF($G192="Youth 0-3",1,0)</f>
        <v>0</v>
      </c>
      <c r="AY192" s="194">
        <f>IF($G192="Youth 4-11",1,0)</f>
        <v>0</v>
      </c>
      <c r="AZ192" s="194">
        <f>IF($G192="Youth 12-15",1,0)</f>
        <v>0</v>
      </c>
      <c r="BA192" s="194">
        <f>IF($G192="Addict",1,0)</f>
        <v>1</v>
      </c>
      <c r="BB192" s="194">
        <f>IF($G192="Non-Addict",1,0)</f>
        <v>0</v>
      </c>
      <c r="BC192" s="194">
        <f>IF($G192="Free Reg Certificate",1,0)</f>
        <v>0</v>
      </c>
      <c r="BD192" s="194">
        <f>IF($G192="Newcomer",1,0)</f>
        <v>0</v>
      </c>
      <c r="BE192" s="194">
        <f>IF($G192="Committee",1,0)</f>
        <v>0</v>
      </c>
      <c r="BF192" s="194">
        <f>IF($G192="Treatment",1,0)</f>
        <v>0</v>
      </c>
      <c r="BG192" s="194">
        <f>IF($G192="Meeting Sponsored",1,0)</f>
        <v>0</v>
      </c>
      <c r="BH192" s="194">
        <f>IF($G192="Programming",1,0)</f>
        <v>0</v>
      </c>
      <c r="BI192" s="194">
        <f>IF($G192="Hardship",1,0)</f>
        <v>0</v>
      </c>
      <c r="BJ192" s="194">
        <f>IF($G192="Refund",1,0)</f>
        <v>0</v>
      </c>
      <c r="BK192" s="194">
        <f>IF($G192="Vermilion Bucks",1,0)</f>
        <v>0</v>
      </c>
      <c r="BL192" s="194">
        <f>IF($G192="Other",1,0)</f>
        <v>0</v>
      </c>
      <c r="BM192" s="286"/>
      <c r="BN192" s="286"/>
      <c r="BO192" s="286">
        <f>SUM(AX192:BL192)</f>
        <v>1</v>
      </c>
      <c r="BP192" s="287">
        <f>SUM(R192:AW192)</f>
        <v>1</v>
      </c>
      <c r="BQ192" s="287">
        <f>+BO192+BP192</f>
        <v>2</v>
      </c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</row>
    <row r="193" spans="1:85" x14ac:dyDescent="0.2">
      <c r="A193" s="294" t="s">
        <v>420</v>
      </c>
      <c r="B193" s="283" t="s">
        <v>434</v>
      </c>
      <c r="C193" s="5">
        <v>81</v>
      </c>
      <c r="D193" s="6">
        <v>44120</v>
      </c>
      <c r="E193" s="284">
        <f>IF($D193 = 0,0,DATEDIF($D193,$D$7,"D"))</f>
        <v>330</v>
      </c>
      <c r="F193" s="193">
        <f>((R193*$R$2)+(S193*$S$2)+(T193*$T$2)++(U193*$U$2)++(V193*$V$2)++(W193*$W$2)++(X193*$X$2)++(Y193*$Y$2)+(Z193*$Z$2)+(AA193*$AA$2)+(AB193*$AB$2)+(AC193*$AC$2)+(AD193*$AD$2)+(AE193*$AE$2)+(AF193*$AF$2)+(AG193*$AG$2)+(AH193*$AH$2)+(AI193*$AI$2)+(AJ193*$AJ$2)+(AK193*$AK$2)+(AL193*$AL$2)+(AM193*$AM$2)+(AN193*$AN$2)+(AO193*$AO$2)+(AP193*$AP$2)+(AQ193*$AQ$2)+(AR193*$AR$2)+(AS193*$AS$2)+(AT193*$AT$2)+(AU193*$AU$2)+(AV193*$AV$2)+(AW193*$AW$2))</f>
        <v>125</v>
      </c>
      <c r="G193" s="8" t="s">
        <v>38</v>
      </c>
      <c r="H193" s="9"/>
      <c r="I193" s="9"/>
      <c r="J193" s="9"/>
      <c r="K193" s="93">
        <f>+F193-I193+J193-H193</f>
        <v>125</v>
      </c>
      <c r="L193" s="64">
        <v>125</v>
      </c>
      <c r="M193" s="275">
        <f>+K193-L193</f>
        <v>0</v>
      </c>
      <c r="N193" s="275"/>
      <c r="O193" s="275"/>
      <c r="P193" s="253"/>
      <c r="Q193" s="293"/>
      <c r="R193" s="5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>
        <v>1</v>
      </c>
      <c r="AO193" s="8"/>
      <c r="AP193" s="8"/>
      <c r="AQ193" s="8"/>
      <c r="AR193" s="8"/>
      <c r="AS193" s="8"/>
      <c r="AT193" s="8"/>
      <c r="AU193" s="8"/>
      <c r="AV193" s="8"/>
      <c r="AW193" s="8"/>
      <c r="AX193" s="194">
        <f>IF($G193="Youth 0-3",1,0)</f>
        <v>0</v>
      </c>
      <c r="AY193" s="194">
        <f>IF($G193="Youth 4-11",1,0)</f>
        <v>0</v>
      </c>
      <c r="AZ193" s="194">
        <f>IF($G193="Youth 12-15",1,0)</f>
        <v>0</v>
      </c>
      <c r="BA193" s="194">
        <f>IF($G193="Addict",1,0)</f>
        <v>1</v>
      </c>
      <c r="BB193" s="194">
        <f>IF($G193="Non-Addict",1,0)</f>
        <v>0</v>
      </c>
      <c r="BC193" s="194">
        <f>IF($G193="Free Reg Certificate",1,0)</f>
        <v>0</v>
      </c>
      <c r="BD193" s="194">
        <f>IF($G193="Newcomer",1,0)</f>
        <v>0</v>
      </c>
      <c r="BE193" s="194">
        <f>IF($G193="Committee",1,0)</f>
        <v>0</v>
      </c>
      <c r="BF193" s="194">
        <f>IF($G193="Treatment",1,0)</f>
        <v>0</v>
      </c>
      <c r="BG193" s="194">
        <f>IF($G193="Meeting Sponsored",1,0)</f>
        <v>0</v>
      </c>
      <c r="BH193" s="194">
        <f>IF($G193="Programming",1,0)</f>
        <v>0</v>
      </c>
      <c r="BI193" s="194">
        <f>IF($G193="Hardship",1,0)</f>
        <v>0</v>
      </c>
      <c r="BJ193" s="194">
        <f>IF($G193="Refund",1,0)</f>
        <v>0</v>
      </c>
      <c r="BK193" s="194">
        <f>IF($G193="Vermilion Bucks",1,0)</f>
        <v>0</v>
      </c>
      <c r="BL193" s="194">
        <f>IF($G193="Other",1,0)</f>
        <v>0</v>
      </c>
      <c r="BM193" s="286"/>
      <c r="BN193" s="286"/>
      <c r="BO193" s="286">
        <f>SUM(AX193:BL193)</f>
        <v>1</v>
      </c>
      <c r="BP193" s="287">
        <f>SUM(R193:AW193)</f>
        <v>1</v>
      </c>
      <c r="BQ193" s="287">
        <f>+BO193+BP193</f>
        <v>2</v>
      </c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</row>
    <row r="194" spans="1:85" x14ac:dyDescent="0.2">
      <c r="A194" s="292" t="s">
        <v>332</v>
      </c>
      <c r="B194" s="187" t="s">
        <v>333</v>
      </c>
      <c r="C194" s="5">
        <v>100</v>
      </c>
      <c r="D194" s="6">
        <v>42693</v>
      </c>
      <c r="E194" s="284">
        <f>IF($D194 = 0,0,DATEDIF($D194,$D$7,"D"))</f>
        <v>1757</v>
      </c>
      <c r="F194" s="193">
        <f>((R194*$R$2)+(S194*$S$2)+(T194*$T$2)++(U194*$U$2)++(V194*$V$2)++(W194*$W$2)++(X194*$X$2)++(Y194*$Y$2)+(Z194*$Z$2)+(AA194*$AA$2)+(AB194*$AB$2)+(AC194*$AC$2)+(AD194*$AD$2)+(AE194*$AE$2)+(AF194*$AF$2)+(AG194*$AG$2)+(AH194*$AH$2)+(AI194*$AI$2)+(AJ194*$AJ$2)+(AK194*$AK$2)+(AL194*$AL$2)+(AM194*$AM$2)+(AN194*$AN$2)+(AO194*$AO$2)+(AP194*$AP$2)+(AQ194*$AQ$2)+(AR194*$AR$2)+(AS194*$AS$2)+(AT194*$AT$2)+(AU194*$AU$2)+(AV194*$AV$2)+(AW194*$AW$2))</f>
        <v>125</v>
      </c>
      <c r="G194" s="8" t="s">
        <v>38</v>
      </c>
      <c r="H194" s="9"/>
      <c r="I194" s="9"/>
      <c r="J194" s="9"/>
      <c r="K194" s="93">
        <f>+F194-I194+J194-H194</f>
        <v>125</v>
      </c>
      <c r="L194" s="64">
        <v>125</v>
      </c>
      <c r="M194" s="253">
        <f>+K194-L194</f>
        <v>0</v>
      </c>
      <c r="N194" s="253"/>
      <c r="O194" s="253"/>
      <c r="P194" s="253"/>
      <c r="Q194" s="271"/>
      <c r="R194" s="5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>
        <v>1</v>
      </c>
      <c r="AW194" s="8"/>
      <c r="AX194" s="194">
        <f>IF($G194="Youth 0-3",1,0)</f>
        <v>0</v>
      </c>
      <c r="AY194" s="194">
        <f>IF($G194="Youth 4-11",1,0)</f>
        <v>0</v>
      </c>
      <c r="AZ194" s="194">
        <f>IF($G194="Youth 12-15",1,0)</f>
        <v>0</v>
      </c>
      <c r="BA194" s="194">
        <f>IF($G194="Addict",1,0)</f>
        <v>1</v>
      </c>
      <c r="BB194" s="194">
        <f>IF($G194="Non-Addict",1,0)</f>
        <v>0</v>
      </c>
      <c r="BC194" s="194">
        <f>IF($G194="Free Reg Certificate",1,0)</f>
        <v>0</v>
      </c>
      <c r="BD194" s="194">
        <f>IF($G194="Newcomer",1,0)</f>
        <v>0</v>
      </c>
      <c r="BE194" s="194">
        <f>IF($G194="Committee",1,0)</f>
        <v>0</v>
      </c>
      <c r="BF194" s="194">
        <f>IF($G194="Treatment",1,0)</f>
        <v>0</v>
      </c>
      <c r="BG194" s="194">
        <f>IF($G194="Meeting Sponsored",1,0)</f>
        <v>0</v>
      </c>
      <c r="BH194" s="194">
        <f>IF($G194="Programming",1,0)</f>
        <v>0</v>
      </c>
      <c r="BI194" s="194">
        <f>IF($G194="Hardship",1,0)</f>
        <v>0</v>
      </c>
      <c r="BJ194" s="194">
        <f>IF($G194="Refund",1,0)</f>
        <v>0</v>
      </c>
      <c r="BK194" s="194">
        <f>IF($G194="Vermilion Bucks",1,0)</f>
        <v>0</v>
      </c>
      <c r="BL194" s="194">
        <f>IF($G194="Other",1,0)</f>
        <v>0</v>
      </c>
      <c r="BM194" s="286"/>
      <c r="BN194" s="286"/>
      <c r="BO194" s="286">
        <f>SUM(AX194:BL194)</f>
        <v>1</v>
      </c>
      <c r="BP194" s="287">
        <f>SUM(R194:AW194)</f>
        <v>1</v>
      </c>
      <c r="BQ194" s="287">
        <f>+BO194+BP194</f>
        <v>2</v>
      </c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</row>
    <row r="195" spans="1:85" x14ac:dyDescent="0.2">
      <c r="A195" s="294" t="s">
        <v>460</v>
      </c>
      <c r="B195" s="177"/>
      <c r="C195" s="5">
        <v>195</v>
      </c>
      <c r="D195" s="6">
        <v>43033</v>
      </c>
      <c r="E195" s="284">
        <f>IF($D195 = 0,0,DATEDIF($D195,$D$7,"D"))</f>
        <v>1417</v>
      </c>
      <c r="F195" s="193">
        <f>((R195*$R$2)+(S195*$S$2)+(T195*$T$2)++(U195*$U$2)++(V195*$V$2)++(W195*$W$2)++(X195*$X$2)++(Y195*$Y$2)+(Z195*$Z$2)+(AA195*$AA$2)+(AB195*$AB$2)+(AC195*$AC$2)+(AD195*$AD$2)+(AE195*$AE$2)+(AF195*$AF$2)+(AG195*$AG$2)+(AH195*$AH$2)+(AI195*$AI$2)+(AJ195*$AJ$2)+(AK195*$AK$2)+(AL195*$AL$2)+(AM195*$AM$2)+(AN195*$AN$2)+(AO195*$AO$2)+(AP195*$AP$2)+(AQ195*$AQ$2)+(AR195*$AR$2)+(AS195*$AS$2)+(AT195*$AT$2)+(AU195*$AU$2)+(AV195*$AV$2)+(AW195*$AW$2))</f>
        <v>125</v>
      </c>
      <c r="G195" s="8" t="s">
        <v>42</v>
      </c>
      <c r="H195" s="9">
        <v>125</v>
      </c>
      <c r="I195" s="9"/>
      <c r="J195" s="9"/>
      <c r="K195" s="93">
        <f>+F195-I195+J195-H195</f>
        <v>0</v>
      </c>
      <c r="L195" s="64">
        <v>0</v>
      </c>
      <c r="M195" s="275">
        <f>+K195-L195</f>
        <v>0</v>
      </c>
      <c r="N195" s="275"/>
      <c r="O195" s="275"/>
      <c r="P195" s="253"/>
      <c r="Q195" s="293"/>
      <c r="R195" s="5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>
        <v>1</v>
      </c>
      <c r="AP195" s="8"/>
      <c r="AQ195" s="8"/>
      <c r="AR195" s="8"/>
      <c r="AS195" s="8"/>
      <c r="AT195" s="8"/>
      <c r="AU195" s="8"/>
      <c r="AV195" s="8"/>
      <c r="AW195" s="8"/>
      <c r="AX195" s="194">
        <f>IF($G195="Youth 0-3",1,0)</f>
        <v>0</v>
      </c>
      <c r="AY195" s="194">
        <f>IF($G195="Youth 4-11",1,0)</f>
        <v>0</v>
      </c>
      <c r="AZ195" s="194">
        <f>IF($G195="Youth 12-15",1,0)</f>
        <v>0</v>
      </c>
      <c r="BA195" s="194">
        <f>IF($G195="Addict",1,0)</f>
        <v>0</v>
      </c>
      <c r="BB195" s="194">
        <f>IF($G195="Non-Addict",1,0)</f>
        <v>0</v>
      </c>
      <c r="BC195" s="194">
        <f>IF($G195="Free Reg Certificate",1,0)</f>
        <v>1</v>
      </c>
      <c r="BD195" s="194">
        <f>IF($G195="Newcomer",1,0)</f>
        <v>0</v>
      </c>
      <c r="BE195" s="194">
        <f>IF($G195="Committee",1,0)</f>
        <v>0</v>
      </c>
      <c r="BF195" s="194">
        <f>IF($G195="Treatment",1,0)</f>
        <v>0</v>
      </c>
      <c r="BG195" s="194">
        <f>IF($G195="Meeting Sponsored",1,0)</f>
        <v>0</v>
      </c>
      <c r="BH195" s="194">
        <f>IF($G195="Programming",1,0)</f>
        <v>0</v>
      </c>
      <c r="BI195" s="194">
        <f>IF($G195="Hardship",1,0)</f>
        <v>0</v>
      </c>
      <c r="BJ195" s="194">
        <f>IF($G195="Refund",1,0)</f>
        <v>0</v>
      </c>
      <c r="BK195" s="194">
        <f>IF($G195="Vermilion Bucks",1,0)</f>
        <v>0</v>
      </c>
      <c r="BL195" s="194">
        <f>IF($G195="Other",1,0)</f>
        <v>0</v>
      </c>
      <c r="BM195" s="286"/>
      <c r="BN195" s="286"/>
      <c r="BO195" s="286">
        <f>SUM(AX195:BL195)</f>
        <v>1</v>
      </c>
      <c r="BP195" s="287">
        <f>SUM(R195:AW195)</f>
        <v>1</v>
      </c>
      <c r="BQ195" s="287">
        <f>+BO195+BP195</f>
        <v>2</v>
      </c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</row>
    <row r="196" spans="1:85" x14ac:dyDescent="0.2">
      <c r="A196" s="294" t="s">
        <v>495</v>
      </c>
      <c r="B196" s="283" t="s">
        <v>496</v>
      </c>
      <c r="C196" s="5">
        <v>199</v>
      </c>
      <c r="D196" s="6">
        <v>40326</v>
      </c>
      <c r="E196" s="284">
        <f>IF($D196 = 0,0,DATEDIF($D196,$D$7,"D"))</f>
        <v>4124</v>
      </c>
      <c r="F196" s="193">
        <f>((R196*$R$2)+(S196*$S$2)+(T196*$T$2)++(U196*$U$2)++(V196*$V$2)++(W196*$W$2)++(X196*$X$2)++(Y196*$Y$2)+(Z196*$Z$2)+(AA196*$AA$2)+(AB196*$AB$2)+(AC196*$AC$2)+(AD196*$AD$2)+(AE196*$AE$2)+(AF196*$AF$2)+(AG196*$AG$2)+(AH196*$AH$2)+(AI196*$AI$2)+(AJ196*$AJ$2)+(AK196*$AK$2)+(AL196*$AL$2)+(AM196*$AM$2)+(AN196*$AN$2)+(AO196*$AO$2)+(AP196*$AP$2)+(AQ196*$AQ$2)+(AR196*$AR$2)+(AS196*$AS$2)+(AT196*$AT$2)+(AU196*$AU$2)+(AV196*$AV$2)+(AW196*$AW$2))</f>
        <v>50</v>
      </c>
      <c r="G196" s="8" t="s">
        <v>38</v>
      </c>
      <c r="H196" s="9"/>
      <c r="I196" s="9"/>
      <c r="J196" s="9"/>
      <c r="K196" s="93">
        <f>+F196-I196+J196-H196</f>
        <v>50</v>
      </c>
      <c r="L196" s="64">
        <v>50</v>
      </c>
      <c r="M196" s="275">
        <f>+K196-L196</f>
        <v>0</v>
      </c>
      <c r="N196" s="275"/>
      <c r="O196" s="275"/>
      <c r="P196" s="253"/>
      <c r="Q196" s="293"/>
      <c r="R196" s="5">
        <v>1</v>
      </c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194">
        <f>IF($G196="Youth 0-3",1,0)</f>
        <v>0</v>
      </c>
      <c r="AY196" s="194">
        <f>IF($G196="Youth 4-11",1,0)</f>
        <v>0</v>
      </c>
      <c r="AZ196" s="194">
        <f>IF($G196="Youth 12-15",1,0)</f>
        <v>0</v>
      </c>
      <c r="BA196" s="194">
        <f>IF($G196="Addict",1,0)</f>
        <v>1</v>
      </c>
      <c r="BB196" s="194">
        <f>IF($G196="Non-Addict",1,0)</f>
        <v>0</v>
      </c>
      <c r="BC196" s="194">
        <f>IF($G196="Free Reg Certificate",1,0)</f>
        <v>0</v>
      </c>
      <c r="BD196" s="194">
        <f>IF($G196="Newcomer",1,0)</f>
        <v>0</v>
      </c>
      <c r="BE196" s="194">
        <f>IF($G196="Committee",1,0)</f>
        <v>0</v>
      </c>
      <c r="BF196" s="194">
        <f>IF($G196="Treatment",1,0)</f>
        <v>0</v>
      </c>
      <c r="BG196" s="194">
        <f>IF($G196="Meeting Sponsored",1,0)</f>
        <v>0</v>
      </c>
      <c r="BH196" s="194">
        <f>IF($G196="Programming",1,0)</f>
        <v>0</v>
      </c>
      <c r="BI196" s="194">
        <f>IF($G196="Hardship",1,0)</f>
        <v>0</v>
      </c>
      <c r="BJ196" s="194">
        <f>IF($G196="Refund",1,0)</f>
        <v>0</v>
      </c>
      <c r="BK196" s="194">
        <f>IF($G196="Vermilion Bucks",1,0)</f>
        <v>0</v>
      </c>
      <c r="BL196" s="194">
        <f>IF($G196="Other",1,0)</f>
        <v>0</v>
      </c>
      <c r="BM196" s="286"/>
      <c r="BN196" s="286"/>
      <c r="BO196" s="286">
        <f>SUM(AX196:BL196)</f>
        <v>1</v>
      </c>
      <c r="BP196" s="287">
        <f>SUM(R196:AW196)</f>
        <v>1</v>
      </c>
      <c r="BQ196" s="287">
        <f>+BO196+BP196</f>
        <v>2</v>
      </c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</row>
    <row r="197" spans="1:85" x14ac:dyDescent="0.2">
      <c r="A197" s="294" t="s">
        <v>475</v>
      </c>
      <c r="B197" s="177"/>
      <c r="C197" s="5"/>
      <c r="D197" s="6"/>
      <c r="E197" s="284">
        <f>IF($D197 = 0,0,DATEDIF($D197,$D$7,"D"))</f>
        <v>0</v>
      </c>
      <c r="F197" s="193">
        <f>((R197*$R$2)+(S197*$S$2)+(T197*$T$2)++(U197*$U$2)++(V197*$V$2)++(W197*$W$2)++(X197*$X$2)++(Y197*$Y$2)+(Z197*$Z$2)+(AA197*$AA$2)+(AB197*$AB$2)+(AC197*$AC$2)+(AD197*$AD$2)+(AE197*$AE$2)+(AF197*$AF$2)+(AG197*$AG$2)+(AH197*$AH$2)+(AI197*$AI$2)+(AJ197*$AJ$2)+(AK197*$AK$2)+(AL197*$AL$2)+(AM197*$AM$2)+(AN197*$AN$2)+(AO197*$AO$2)+(AP197*$AP$2)+(AQ197*$AQ$2)+(AR197*$AR$2)+(AS197*$AS$2)+(AT197*$AT$2)+(AU197*$AU$2)+(AV197*$AV$2)+(AW197*$AW$2))</f>
        <v>125</v>
      </c>
      <c r="G197" s="8" t="s">
        <v>27</v>
      </c>
      <c r="H197" s="9">
        <v>62.5</v>
      </c>
      <c r="I197" s="9"/>
      <c r="J197" s="9"/>
      <c r="K197" s="93">
        <f>+F197-I197+J197-H197</f>
        <v>62.5</v>
      </c>
      <c r="L197" s="64">
        <v>62.5</v>
      </c>
      <c r="M197" s="275">
        <f>+K197-L197</f>
        <v>0</v>
      </c>
      <c r="N197" s="275"/>
      <c r="O197" s="275"/>
      <c r="P197" s="253"/>
      <c r="Q197" s="293"/>
      <c r="R197" s="5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>
        <v>1</v>
      </c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194">
        <f>IF($G197="Youth 0-3",1,0)</f>
        <v>0</v>
      </c>
      <c r="AY197" s="194">
        <f>IF($G197="Youth 4-11",1,0)</f>
        <v>0</v>
      </c>
      <c r="AZ197" s="194">
        <f>IF($G197="Youth 12-15",1,0)</f>
        <v>0</v>
      </c>
      <c r="BA197" s="194">
        <f>IF($G197="Addict",1,0)</f>
        <v>0</v>
      </c>
      <c r="BB197" s="194">
        <f>IF($G197="Non-Addict",1,0)</f>
        <v>0</v>
      </c>
      <c r="BC197" s="194">
        <f>IF($G197="Free Reg Certificate",1,0)</f>
        <v>0</v>
      </c>
      <c r="BD197" s="194">
        <f>IF($G197="Newcomer",1,0)</f>
        <v>1</v>
      </c>
      <c r="BE197" s="194">
        <f>IF($G197="Committee",1,0)</f>
        <v>0</v>
      </c>
      <c r="BF197" s="194">
        <f>IF($G197="Treatment",1,0)</f>
        <v>0</v>
      </c>
      <c r="BG197" s="194">
        <f>IF($G197="Meeting Sponsored",1,0)</f>
        <v>0</v>
      </c>
      <c r="BH197" s="194">
        <f>IF($G197="Programming",1,0)</f>
        <v>0</v>
      </c>
      <c r="BI197" s="194">
        <f>IF($G197="Hardship",1,0)</f>
        <v>0</v>
      </c>
      <c r="BJ197" s="194">
        <f>IF($G197="Refund",1,0)</f>
        <v>0</v>
      </c>
      <c r="BK197" s="194">
        <f>IF($G197="Vermilion Bucks",1,0)</f>
        <v>0</v>
      </c>
      <c r="BL197" s="194">
        <f>IF($G197="Other",1,0)</f>
        <v>0</v>
      </c>
      <c r="BM197" s="286"/>
      <c r="BN197" s="286"/>
      <c r="BO197" s="286">
        <f>SUM(AX197:BL197)</f>
        <v>1</v>
      </c>
      <c r="BP197" s="287">
        <f>SUM(R197:AW197)</f>
        <v>1</v>
      </c>
      <c r="BQ197" s="287">
        <f>+BO197+BP197</f>
        <v>2</v>
      </c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</row>
    <row r="198" spans="1:85" x14ac:dyDescent="0.2">
      <c r="A198" s="294" t="s">
        <v>346</v>
      </c>
      <c r="B198" s="283" t="s">
        <v>347</v>
      </c>
      <c r="C198" s="5">
        <v>110</v>
      </c>
      <c r="D198" s="6">
        <v>43346</v>
      </c>
      <c r="E198" s="284">
        <f>IF($D198 = 0,0,DATEDIF($D198,$D$7,"D"))</f>
        <v>1104</v>
      </c>
      <c r="F198" s="193">
        <f>((R198*$R$2)+(S198*$S$2)+(T198*$T$2)++(U198*$U$2)++(V198*$V$2)++(W198*$W$2)++(X198*$X$2)++(Y198*$Y$2)+(Z198*$Z$2)+(AA198*$AA$2)+(AB198*$AB$2)+(AC198*$AC$2)+(AD198*$AD$2)+(AE198*$AE$2)+(AF198*$AF$2)+(AG198*$AG$2)+(AH198*$AH$2)+(AI198*$AI$2)+(AJ198*$AJ$2)+(AK198*$AK$2)+(AL198*$AL$2)+(AM198*$AM$2)+(AN198*$AN$2)+(AO198*$AO$2)+(AP198*$AP$2)+(AQ198*$AQ$2)+(AR198*$AR$2)+(AS198*$AS$2)+(AT198*$AT$2)+(AU198*$AU$2)+(AV198*$AV$2)+(AW198*$AW$2))</f>
        <v>160</v>
      </c>
      <c r="G198" s="8" t="s">
        <v>6</v>
      </c>
      <c r="H198" s="9">
        <v>25</v>
      </c>
      <c r="I198" s="9"/>
      <c r="J198" s="9">
        <v>25</v>
      </c>
      <c r="K198" s="93">
        <f>+F198-I198+J198-H198</f>
        <v>160</v>
      </c>
      <c r="L198" s="64">
        <v>160</v>
      </c>
      <c r="M198" s="275">
        <f>+K198-L198</f>
        <v>0</v>
      </c>
      <c r="N198" s="275"/>
      <c r="O198" s="275"/>
      <c r="P198" s="253"/>
      <c r="Q198" s="293"/>
      <c r="R198" s="5"/>
      <c r="S198" s="8"/>
      <c r="T198" s="8"/>
      <c r="U198" s="8"/>
      <c r="V198" s="8">
        <v>1</v>
      </c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194">
        <f>IF($G198="Youth 0-3",1,0)</f>
        <v>0</v>
      </c>
      <c r="AY198" s="194">
        <f>IF($G198="Youth 4-11",1,0)</f>
        <v>0</v>
      </c>
      <c r="AZ198" s="194">
        <f>IF($G198="Youth 12-15",1,0)</f>
        <v>0</v>
      </c>
      <c r="BA198" s="194">
        <f>IF($G198="Addict",1,0)</f>
        <v>0</v>
      </c>
      <c r="BB198" s="194">
        <f>IF($G198="Non-Addict",1,0)</f>
        <v>0</v>
      </c>
      <c r="BC198" s="194">
        <f>IF($G198="Free Reg Certificate",1,0)</f>
        <v>0</v>
      </c>
      <c r="BD198" s="194">
        <f>IF($G198="Newcomer",1,0)</f>
        <v>0</v>
      </c>
      <c r="BE198" s="194">
        <f>IF($G198="Committee",1,0)</f>
        <v>1</v>
      </c>
      <c r="BF198" s="194">
        <f>IF($G198="Treatment",1,0)</f>
        <v>0</v>
      </c>
      <c r="BG198" s="194">
        <f>IF($G198="Meeting Sponsored",1,0)</f>
        <v>0</v>
      </c>
      <c r="BH198" s="194">
        <f>IF($G198="Programming",1,0)</f>
        <v>0</v>
      </c>
      <c r="BI198" s="194">
        <f>IF($G198="Hardship",1,0)</f>
        <v>0</v>
      </c>
      <c r="BJ198" s="194">
        <f>IF($G198="Refund",1,0)</f>
        <v>0</v>
      </c>
      <c r="BK198" s="194">
        <f>IF($G198="Vermilion Bucks",1,0)</f>
        <v>0</v>
      </c>
      <c r="BL198" s="194">
        <f>IF($G198="Other",1,0)</f>
        <v>0</v>
      </c>
      <c r="BM198" s="286"/>
      <c r="BN198" s="286"/>
      <c r="BO198" s="286">
        <f>SUM(AX198:BL198)</f>
        <v>1</v>
      </c>
      <c r="BP198" s="287">
        <f>SUM(R198:AW198)</f>
        <v>1</v>
      </c>
      <c r="BQ198" s="287">
        <f>+BO198+BP198</f>
        <v>2</v>
      </c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</row>
    <row r="199" spans="1:85" x14ac:dyDescent="0.2">
      <c r="A199" s="294" t="s">
        <v>373</v>
      </c>
      <c r="B199" s="283" t="s">
        <v>455</v>
      </c>
      <c r="C199" s="5">
        <v>178</v>
      </c>
      <c r="D199" s="6">
        <v>43635</v>
      </c>
      <c r="E199" s="284">
        <f>IF($D199 = 0,0,DATEDIF($D199,$D$7,"D"))</f>
        <v>815</v>
      </c>
      <c r="F199" s="193">
        <f>((R199*$R$2)+(S199*$S$2)+(T199*$T$2)++(U199*$U$2)++(V199*$V$2)++(W199*$W$2)++(X199*$X$2)++(Y199*$Y$2)+(Z199*$Z$2)+(AA199*$AA$2)+(AB199*$AB$2)+(AC199*$AC$2)+(AD199*$AD$2)+(AE199*$AE$2)+(AF199*$AF$2)+(AG199*$AG$2)+(AH199*$AH$2)+(AI199*$AI$2)+(AJ199*$AJ$2)+(AK199*$AK$2)+(AL199*$AL$2)+(AM199*$AM$2)+(AN199*$AN$2)+(AO199*$AO$2)+(AP199*$AP$2)+(AQ199*$AQ$2)+(AR199*$AR$2)+(AS199*$AS$2)+(AT199*$AT$2)+(AU199*$AU$2)+(AV199*$AV$2)+(AW199*$AW$2))</f>
        <v>125</v>
      </c>
      <c r="G199" s="8" t="s">
        <v>38</v>
      </c>
      <c r="H199" s="9"/>
      <c r="I199" s="9"/>
      <c r="J199" s="9"/>
      <c r="K199" s="93">
        <f>+F199-I199+J199-H199</f>
        <v>125</v>
      </c>
      <c r="L199" s="64">
        <v>125</v>
      </c>
      <c r="M199" s="275">
        <f>+K199-L199</f>
        <v>0</v>
      </c>
      <c r="N199" s="275"/>
      <c r="O199" s="275"/>
      <c r="P199" s="253"/>
      <c r="Q199" s="293"/>
      <c r="R199" s="5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>
        <v>1</v>
      </c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194">
        <f>IF($G199="Youth 0-3",1,0)</f>
        <v>0</v>
      </c>
      <c r="AY199" s="194">
        <f>IF($G199="Youth 4-11",1,0)</f>
        <v>0</v>
      </c>
      <c r="AZ199" s="194">
        <f>IF($G199="Youth 12-15",1,0)</f>
        <v>0</v>
      </c>
      <c r="BA199" s="194">
        <f>IF($G199="Addict",1,0)</f>
        <v>1</v>
      </c>
      <c r="BB199" s="194">
        <f>IF($G199="Non-Addict",1,0)</f>
        <v>0</v>
      </c>
      <c r="BC199" s="194">
        <f>IF($G199="Free Reg Certificate",1,0)</f>
        <v>0</v>
      </c>
      <c r="BD199" s="194">
        <f>IF($G199="Newcomer",1,0)</f>
        <v>0</v>
      </c>
      <c r="BE199" s="194">
        <f>IF($G199="Committee",1,0)</f>
        <v>0</v>
      </c>
      <c r="BF199" s="194">
        <f>IF($G199="Treatment",1,0)</f>
        <v>0</v>
      </c>
      <c r="BG199" s="194">
        <f>IF($G199="Meeting Sponsored",1,0)</f>
        <v>0</v>
      </c>
      <c r="BH199" s="194">
        <f>IF($G199="Programming",1,0)</f>
        <v>0</v>
      </c>
      <c r="BI199" s="194">
        <f>IF($G199="Hardship",1,0)</f>
        <v>0</v>
      </c>
      <c r="BJ199" s="194">
        <f>IF($G199="Refund",1,0)</f>
        <v>0</v>
      </c>
      <c r="BK199" s="194">
        <f>IF($G199="Vermilion Bucks",1,0)</f>
        <v>0</v>
      </c>
      <c r="BL199" s="194">
        <f>IF($G199="Other",1,0)</f>
        <v>0</v>
      </c>
      <c r="BM199" s="286"/>
      <c r="BN199" s="286"/>
      <c r="BO199" s="286">
        <f>SUM(AX199:BL199)</f>
        <v>1</v>
      </c>
      <c r="BP199" s="287">
        <f>SUM(R199:AW199)</f>
        <v>1</v>
      </c>
      <c r="BQ199" s="287">
        <f>+BO199+BP199</f>
        <v>2</v>
      </c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</row>
    <row r="200" spans="1:85" x14ac:dyDescent="0.2">
      <c r="A200" s="294" t="s">
        <v>439</v>
      </c>
      <c r="B200" s="177"/>
      <c r="C200" s="5">
        <v>265</v>
      </c>
      <c r="D200" s="6">
        <v>44417</v>
      </c>
      <c r="E200" s="284">
        <f>IF($D200 = 0,0,DATEDIF($D200,$D$7,"D"))</f>
        <v>33</v>
      </c>
      <c r="F200" s="193">
        <f>((R200*$R$2)+(S200*$S$2)+(T200*$T$2)++(U200*$U$2)++(V200*$V$2)++(W200*$W$2)++(X200*$X$2)++(Y200*$Y$2)+(Z200*$Z$2)+(AA200*$AA$2)+(AB200*$AB$2)+(AC200*$AC$2)+(AD200*$AD$2)+(AE200*$AE$2)+(AF200*$AF$2)+(AG200*$AG$2)+(AH200*$AH$2)+(AI200*$AI$2)+(AJ200*$AJ$2)+(AK200*$AK$2)+(AL200*$AL$2)+(AM200*$AM$2)+(AN200*$AN$2)+(AO200*$AO$2)+(AP200*$AP$2)+(AQ200*$AQ$2)+(AR200*$AR$2)+(AS200*$AS$2)+(AT200*$AT$2)+(AU200*$AU$2)+(AV200*$AV$2)+(AW200*$AW$2))</f>
        <v>100</v>
      </c>
      <c r="G200" s="8" t="s">
        <v>27</v>
      </c>
      <c r="H200" s="9">
        <v>50</v>
      </c>
      <c r="I200" s="9"/>
      <c r="J200" s="9"/>
      <c r="K200" s="93">
        <f>+F200-I200+J200-H200</f>
        <v>50</v>
      </c>
      <c r="L200" s="64">
        <v>50</v>
      </c>
      <c r="M200" s="275">
        <f>+K200-L200</f>
        <v>0</v>
      </c>
      <c r="N200" s="275"/>
      <c r="O200" s="275"/>
      <c r="P200" s="253"/>
      <c r="Q200" s="293"/>
      <c r="R200" s="5"/>
      <c r="S200" s="8">
        <v>1</v>
      </c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194">
        <f>IF($G200="Youth 0-3",1,0)</f>
        <v>0</v>
      </c>
      <c r="AY200" s="194">
        <f>IF($G200="Youth 4-11",1,0)</f>
        <v>0</v>
      </c>
      <c r="AZ200" s="194">
        <f>IF($G200="Youth 12-15",1,0)</f>
        <v>0</v>
      </c>
      <c r="BA200" s="194">
        <f>IF($G200="Addict",1,0)</f>
        <v>0</v>
      </c>
      <c r="BB200" s="194">
        <f>IF($G200="Non-Addict",1,0)</f>
        <v>0</v>
      </c>
      <c r="BC200" s="194">
        <f>IF($G200="Free Reg Certificate",1,0)</f>
        <v>0</v>
      </c>
      <c r="BD200" s="194">
        <f>IF($G200="Newcomer",1,0)</f>
        <v>1</v>
      </c>
      <c r="BE200" s="194">
        <f>IF($G200="Committee",1,0)</f>
        <v>0</v>
      </c>
      <c r="BF200" s="194">
        <f>IF($G200="Treatment",1,0)</f>
        <v>0</v>
      </c>
      <c r="BG200" s="194">
        <f>IF($G200="Meeting Sponsored",1,0)</f>
        <v>0</v>
      </c>
      <c r="BH200" s="194">
        <f>IF($G200="Programming",1,0)</f>
        <v>0</v>
      </c>
      <c r="BI200" s="194">
        <f>IF($G200="Hardship",1,0)</f>
        <v>0</v>
      </c>
      <c r="BJ200" s="194">
        <f>IF($G200="Refund",1,0)</f>
        <v>0</v>
      </c>
      <c r="BK200" s="194">
        <f>IF($G200="Vermilion Bucks",1,0)</f>
        <v>0</v>
      </c>
      <c r="BL200" s="194">
        <f>IF($G200="Other",1,0)</f>
        <v>0</v>
      </c>
      <c r="BM200" s="286"/>
      <c r="BN200" s="286"/>
      <c r="BO200" s="286">
        <f>SUM(AX200:BL200)</f>
        <v>1</v>
      </c>
      <c r="BP200" s="287">
        <f>SUM(R200:AW200)</f>
        <v>1</v>
      </c>
      <c r="BQ200" s="287">
        <f>+BO200+BP200</f>
        <v>2</v>
      </c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</row>
    <row r="201" spans="1:85" x14ac:dyDescent="0.2">
      <c r="A201" s="294" t="s">
        <v>497</v>
      </c>
      <c r="B201" s="177"/>
      <c r="C201" s="5">
        <v>199</v>
      </c>
      <c r="D201" s="6"/>
      <c r="E201" s="284">
        <f>IF($D201 = 0,0,DATEDIF($D201,$D$7,"D"))</f>
        <v>0</v>
      </c>
      <c r="F201" s="193">
        <f>((R201*$R$2)+(S201*$S$2)+(T201*$T$2)++(U201*$U$2)++(V201*$V$2)++(W201*$W$2)++(X201*$X$2)++(Y201*$Y$2)+(Z201*$Z$2)+(AA201*$AA$2)+(AB201*$AB$2)+(AC201*$AC$2)+(AD201*$AD$2)+(AE201*$AE$2)+(AF201*$AF$2)+(AG201*$AG$2)+(AH201*$AH$2)+(AI201*$AI$2)+(AJ201*$AJ$2)+(AK201*$AK$2)+(AL201*$AL$2)+(AM201*$AM$2)+(AN201*$AN$2)+(AO201*$AO$2)+(AP201*$AP$2)+(AQ201*$AQ$2)+(AR201*$AR$2)+(AS201*$AS$2)+(AT201*$AT$2)+(AU201*$AU$2)+(AV201*$AV$2)+(AW201*$AW$2))</f>
        <v>50</v>
      </c>
      <c r="G201" s="8" t="s">
        <v>39</v>
      </c>
      <c r="H201" s="9"/>
      <c r="I201" s="9"/>
      <c r="J201" s="9"/>
      <c r="K201" s="93">
        <f>+F201-I201+J201-H201</f>
        <v>50</v>
      </c>
      <c r="L201" s="64">
        <v>50</v>
      </c>
      <c r="M201" s="275">
        <f>+K201-L201</f>
        <v>0</v>
      </c>
      <c r="N201" s="275"/>
      <c r="O201" s="275"/>
      <c r="P201" s="253"/>
      <c r="Q201" s="293"/>
      <c r="R201" s="5">
        <v>1</v>
      </c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194">
        <f>IF($G201="Youth 0-3",1,0)</f>
        <v>0</v>
      </c>
      <c r="AY201" s="194">
        <f>IF($G201="Youth 4-11",1,0)</f>
        <v>0</v>
      </c>
      <c r="AZ201" s="194">
        <f>IF($G201="Youth 12-15",1,0)</f>
        <v>0</v>
      </c>
      <c r="BA201" s="194">
        <f>IF($G201="Addict",1,0)</f>
        <v>0</v>
      </c>
      <c r="BB201" s="194">
        <f>IF($G201="Non-Addict",1,0)</f>
        <v>1</v>
      </c>
      <c r="BC201" s="194">
        <f>IF($G201="Free Reg Certificate",1,0)</f>
        <v>0</v>
      </c>
      <c r="BD201" s="194">
        <f>IF($G201="Newcomer",1,0)</f>
        <v>0</v>
      </c>
      <c r="BE201" s="194">
        <f>IF($G201="Committee",1,0)</f>
        <v>0</v>
      </c>
      <c r="BF201" s="194">
        <f>IF($G201="Treatment",1,0)</f>
        <v>0</v>
      </c>
      <c r="BG201" s="194">
        <f>IF($G201="Meeting Sponsored",1,0)</f>
        <v>0</v>
      </c>
      <c r="BH201" s="194">
        <f>IF($G201="Programming",1,0)</f>
        <v>0</v>
      </c>
      <c r="BI201" s="194">
        <f>IF($G201="Hardship",1,0)</f>
        <v>0</v>
      </c>
      <c r="BJ201" s="194">
        <f>IF($G201="Refund",1,0)</f>
        <v>0</v>
      </c>
      <c r="BK201" s="194">
        <f>IF($G201="Vermilion Bucks",1,0)</f>
        <v>0</v>
      </c>
      <c r="BL201" s="194">
        <f>IF($G201="Other",1,0)</f>
        <v>0</v>
      </c>
      <c r="BM201" s="286"/>
      <c r="BN201" s="286"/>
      <c r="BO201" s="286">
        <f>SUM(AX201:BL201)</f>
        <v>1</v>
      </c>
      <c r="BP201" s="287">
        <f>SUM(R201:AW201)</f>
        <v>1</v>
      </c>
      <c r="BQ201" s="287">
        <f>+BO201+BP201</f>
        <v>2</v>
      </c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</row>
    <row r="202" spans="1:85" x14ac:dyDescent="0.3">
      <c r="A202" s="279" t="s">
        <v>26</v>
      </c>
      <c r="B202" s="195" t="s">
        <v>37</v>
      </c>
      <c r="C202" s="195">
        <f>+C470</f>
        <v>0</v>
      </c>
      <c r="D202" s="280" t="s">
        <v>41</v>
      </c>
      <c r="E202" s="281">
        <f>+E471</f>
        <v>0</v>
      </c>
      <c r="F202" s="210">
        <f>+F470</f>
        <v>0</v>
      </c>
      <c r="G202" s="195" t="s">
        <v>37</v>
      </c>
      <c r="H202" s="210">
        <f>+H470</f>
        <v>0</v>
      </c>
      <c r="I202" s="210">
        <f>+I470</f>
        <v>0</v>
      </c>
      <c r="J202" s="210">
        <f>+J470</f>
        <v>0</v>
      </c>
      <c r="K202" s="210">
        <f>+K470</f>
        <v>0</v>
      </c>
      <c r="L202" s="246">
        <f>+L470</f>
        <v>0</v>
      </c>
      <c r="M202" s="210">
        <f>+M470</f>
        <v>0</v>
      </c>
      <c r="N202" s="210"/>
      <c r="O202" s="282"/>
      <c r="P202" s="253">
        <f>+L202-O202</f>
        <v>0</v>
      </c>
      <c r="Q202" s="260"/>
      <c r="R202" s="195">
        <f>+R470</f>
        <v>0</v>
      </c>
      <c r="S202" s="195">
        <f>+S470</f>
        <v>0</v>
      </c>
      <c r="T202" s="195">
        <f>+T470</f>
        <v>0</v>
      </c>
      <c r="U202" s="195"/>
      <c r="V202" s="195">
        <f>+V470</f>
        <v>0</v>
      </c>
      <c r="W202" s="195">
        <f>+W470</f>
        <v>0</v>
      </c>
      <c r="X202" s="195">
        <f>+X470</f>
        <v>0</v>
      </c>
      <c r="Y202" s="195">
        <f>+Y470</f>
        <v>0</v>
      </c>
      <c r="Z202" s="195">
        <f>+Z470</f>
        <v>0</v>
      </c>
      <c r="AA202" s="195">
        <f>+AA470</f>
        <v>0</v>
      </c>
      <c r="AB202" s="195">
        <f>+AB470</f>
        <v>0</v>
      </c>
      <c r="AC202" s="195">
        <f>+AC470</f>
        <v>0</v>
      </c>
      <c r="AD202" s="195">
        <f>+AD470</f>
        <v>0</v>
      </c>
      <c r="AE202" s="195">
        <f>+AE470</f>
        <v>0</v>
      </c>
      <c r="AF202" s="195">
        <f>+AF470</f>
        <v>0</v>
      </c>
      <c r="AG202" s="195">
        <f>+AG470</f>
        <v>0</v>
      </c>
      <c r="AH202" s="195">
        <f>+AH470</f>
        <v>0</v>
      </c>
      <c r="AI202" s="195">
        <f>+AI470</f>
        <v>0</v>
      </c>
      <c r="AJ202" s="195">
        <f>+AJ470</f>
        <v>0</v>
      </c>
      <c r="AK202" s="195">
        <f>+AK470</f>
        <v>0</v>
      </c>
      <c r="AL202" s="195">
        <f>+AL470</f>
        <v>0</v>
      </c>
      <c r="AM202" s="195">
        <f>+AM470</f>
        <v>0</v>
      </c>
      <c r="AN202" s="195">
        <f>+AN470</f>
        <v>0</v>
      </c>
      <c r="AO202" s="195">
        <f>+AO470</f>
        <v>0</v>
      </c>
      <c r="AP202" s="195">
        <f>+AP470</f>
        <v>0</v>
      </c>
      <c r="AQ202" s="195">
        <f>+AQ470</f>
        <v>0</v>
      </c>
      <c r="AR202" s="195">
        <f>+AR470</f>
        <v>0</v>
      </c>
      <c r="AS202" s="195">
        <f>+AS470</f>
        <v>0</v>
      </c>
      <c r="AT202" s="195">
        <f>+AT470</f>
        <v>0</v>
      </c>
      <c r="AU202" s="195">
        <f>+AU470</f>
        <v>0</v>
      </c>
      <c r="AV202" s="195">
        <f>+AV470</f>
        <v>0</v>
      </c>
      <c r="AW202" s="195">
        <f>+AW470</f>
        <v>0</v>
      </c>
      <c r="AX202" s="238">
        <f>+AX470</f>
        <v>0</v>
      </c>
      <c r="AY202" s="238">
        <f>+AY470</f>
        <v>0</v>
      </c>
      <c r="AZ202" s="238">
        <f>+AZ470</f>
        <v>0</v>
      </c>
      <c r="BA202" s="238">
        <f>+BA470</f>
        <v>0</v>
      </c>
      <c r="BB202" s="238">
        <f>+BB470</f>
        <v>0</v>
      </c>
      <c r="BC202" s="238">
        <f>+BC470</f>
        <v>0</v>
      </c>
      <c r="BD202" s="238">
        <f>+BD470</f>
        <v>0</v>
      </c>
      <c r="BE202" s="238">
        <f>+BE470</f>
        <v>0</v>
      </c>
      <c r="BF202" s="240">
        <f>+BF470</f>
        <v>0</v>
      </c>
      <c r="BG202" s="238">
        <f>+BG470</f>
        <v>0</v>
      </c>
      <c r="BH202" s="238">
        <f>+BH470</f>
        <v>0</v>
      </c>
      <c r="BI202" s="238">
        <f>+BI470</f>
        <v>0</v>
      </c>
      <c r="BJ202" s="238"/>
      <c r="BK202" s="238"/>
      <c r="BL202" s="238">
        <f>+BL470</f>
        <v>0</v>
      </c>
      <c r="BM202" s="195">
        <f>SUM(AX202:BL202)</f>
        <v>0</v>
      </c>
      <c r="BN202" s="195"/>
      <c r="BO202" s="195"/>
      <c r="BP202" s="195"/>
      <c r="BQ202" s="195"/>
      <c r="BR202" s="195"/>
      <c r="BS202" s="195"/>
      <c r="BT202" s="195"/>
      <c r="BU202" s="195"/>
      <c r="BV202" s="195"/>
      <c r="BW202" s="195"/>
      <c r="BX202" s="195"/>
      <c r="BY202" s="195"/>
      <c r="BZ202" s="195"/>
      <c r="CA202" s="195"/>
      <c r="CB202" s="195"/>
      <c r="CC202" s="195"/>
      <c r="CD202" s="195"/>
      <c r="CE202" s="195"/>
      <c r="CF202" s="195"/>
      <c r="CG202" s="195"/>
    </row>
    <row r="203" spans="1:85" ht="14.4" customHeight="1" x14ac:dyDescent="0.3">
      <c r="A203" s="198" t="s">
        <v>26</v>
      </c>
      <c r="B203" s="200"/>
      <c r="C203" s="201">
        <f>SUM(C69:C202)</f>
        <v>21044</v>
      </c>
      <c r="D203" s="203" t="s">
        <v>40</v>
      </c>
      <c r="E203" s="207">
        <f>SUM(E69:E202)</f>
        <v>288320</v>
      </c>
      <c r="F203" s="211">
        <f>SUM(F69:F202)</f>
        <v>14825</v>
      </c>
      <c r="G203" s="211"/>
      <c r="H203" s="211">
        <f>SUM(H69:H202)</f>
        <v>2612.5</v>
      </c>
      <c r="I203" s="211">
        <f>SUM(I69:I202)</f>
        <v>725</v>
      </c>
      <c r="J203" s="211">
        <f>SUM(J69:J202)</f>
        <v>364.5</v>
      </c>
      <c r="K203" s="211">
        <f>SUM(K10:K202)</f>
        <v>18548</v>
      </c>
      <c r="L203" s="211">
        <f>SUM(L10:L202)</f>
        <v>18548</v>
      </c>
      <c r="M203" s="225">
        <f>SUM(M69:M202)</f>
        <v>0</v>
      </c>
      <c r="N203" s="225"/>
      <c r="O203" s="227">
        <f>SUM(O10:O201)</f>
        <v>10041</v>
      </c>
      <c r="P203" s="253">
        <f>SUM(P10:P201)</f>
        <v>170</v>
      </c>
      <c r="Q203" s="261"/>
      <c r="R203" s="201">
        <f>SUM(R69:R202)</f>
        <v>22</v>
      </c>
      <c r="S203" s="201">
        <f>SUM(S69:S202)</f>
        <v>24</v>
      </c>
      <c r="T203" s="201">
        <f>SUM(T69:T202)</f>
        <v>2</v>
      </c>
      <c r="U203" s="201"/>
      <c r="V203" s="201">
        <f>SUM(V69:V202)</f>
        <v>5</v>
      </c>
      <c r="W203" s="201">
        <f>SUM(W69:W202)</f>
        <v>0</v>
      </c>
      <c r="X203" s="201">
        <f>SUM(X69:X202)</f>
        <v>6</v>
      </c>
      <c r="Y203" s="201">
        <f>SUM(Y69:Y202)</f>
        <v>0</v>
      </c>
      <c r="Z203" s="201">
        <f>SUM(Z69:Z202)</f>
        <v>13</v>
      </c>
      <c r="AA203" s="201">
        <f>SUM(AA69:AA202)</f>
        <v>5</v>
      </c>
      <c r="AB203" s="201">
        <f>SUM(AB69:AB202)</f>
        <v>1</v>
      </c>
      <c r="AC203" s="201">
        <f>SUM(AC69:AC202)</f>
        <v>4</v>
      </c>
      <c r="AD203" s="201">
        <f>SUM(AD69:AD202)</f>
        <v>2</v>
      </c>
      <c r="AE203" s="201">
        <f>SUM(AE69:AE202)</f>
        <v>4</v>
      </c>
      <c r="AF203" s="201">
        <f>SUM(AF69:AF202)</f>
        <v>5</v>
      </c>
      <c r="AG203" s="201">
        <f>SUM(AG69:AG202)</f>
        <v>1</v>
      </c>
      <c r="AH203" s="201">
        <f>SUM(AH69:AH202)</f>
        <v>4</v>
      </c>
      <c r="AI203" s="201">
        <f>SUM(AI69:AI202)</f>
        <v>0</v>
      </c>
      <c r="AJ203" s="201">
        <f>SUM(AJ69:AJ202)</f>
        <v>5</v>
      </c>
      <c r="AK203" s="201">
        <f>SUM(AK69:AK202)</f>
        <v>2</v>
      </c>
      <c r="AL203" s="201">
        <f>SUM(AL69:AL202)</f>
        <v>1</v>
      </c>
      <c r="AM203" s="201">
        <f>SUM(AM69:AM202)</f>
        <v>1</v>
      </c>
      <c r="AN203" s="201">
        <f>SUM(AN69:AN202)</f>
        <v>8</v>
      </c>
      <c r="AO203" s="201">
        <f>SUM(AO69:AO202)</f>
        <v>2</v>
      </c>
      <c r="AP203" s="201">
        <f>SUM(AP69:AP202)</f>
        <v>5</v>
      </c>
      <c r="AQ203" s="201">
        <f>SUM(AQ69:AQ202)</f>
        <v>2</v>
      </c>
      <c r="AR203" s="201">
        <f>SUM(AR69:AR202)</f>
        <v>2</v>
      </c>
      <c r="AS203" s="201">
        <f>SUM(AS69:AS202)</f>
        <v>0</v>
      </c>
      <c r="AT203" s="201">
        <f>SUM(AT69:AT202)</f>
        <v>3</v>
      </c>
      <c r="AU203" s="201">
        <f>SUM(AU69:AU202)</f>
        <v>2</v>
      </c>
      <c r="AV203" s="201">
        <f>SUM(AV69:AV202)</f>
        <v>1</v>
      </c>
      <c r="AW203" s="201">
        <f>SUM(AW69:AW202)</f>
        <v>0</v>
      </c>
      <c r="AX203" s="239">
        <f>SUM(AX69:AX202)</f>
        <v>3</v>
      </c>
      <c r="AY203" s="239">
        <f>SUM(AY69:AY202)</f>
        <v>7</v>
      </c>
      <c r="AZ203" s="239">
        <f>SUM(AZ69:AZ202)</f>
        <v>3</v>
      </c>
      <c r="BA203" s="239">
        <f>SUM(BA69:BA202)</f>
        <v>74</v>
      </c>
      <c r="BB203" s="239">
        <f>SUM(BB69:BB202)</f>
        <v>3</v>
      </c>
      <c r="BC203" s="239">
        <f>SUM(BC69:BC202)</f>
        <v>5</v>
      </c>
      <c r="BD203" s="239">
        <f>SUM(BD69:BD202)</f>
        <v>13</v>
      </c>
      <c r="BE203" s="239">
        <f>SUM(BE69:BE202)</f>
        <v>9</v>
      </c>
      <c r="BF203" s="239">
        <f>SUM(BF69:BF202)</f>
        <v>5</v>
      </c>
      <c r="BG203" s="239">
        <f>SUM(BG69:BG202)</f>
        <v>0</v>
      </c>
      <c r="BH203" s="239">
        <f>SUM(BH69:BH202)</f>
        <v>3</v>
      </c>
      <c r="BI203" s="239">
        <f>SUM(BI69:BI202)</f>
        <v>4</v>
      </c>
      <c r="BJ203" s="239">
        <f>SUM(BJ69:BJ202)</f>
        <v>0</v>
      </c>
      <c r="BK203" s="239">
        <f>SUM(BK69:BK202)</f>
        <v>3</v>
      </c>
      <c r="BL203" s="239">
        <f>SUM(BL69:BL202)</f>
        <v>0</v>
      </c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</row>
    <row r="204" spans="1:85" x14ac:dyDescent="0.3">
      <c r="A204" s="196"/>
      <c r="B204" s="173"/>
      <c r="C204" s="12"/>
      <c r="D204" s="205" t="s">
        <v>41</v>
      </c>
      <c r="E204" s="209">
        <f>+E203/365</f>
        <v>789.91780821917803</v>
      </c>
      <c r="F204" s="11"/>
      <c r="G204" s="13"/>
      <c r="H204" s="13"/>
      <c r="I204" s="13"/>
      <c r="J204" s="14"/>
      <c r="K204" s="14"/>
      <c r="L204" s="250"/>
      <c r="M204" s="14"/>
      <c r="N204" s="14"/>
      <c r="O204" s="230"/>
      <c r="P204" s="253">
        <f>+L204-O204</f>
        <v>0</v>
      </c>
      <c r="Q204" s="262"/>
      <c r="R204" s="11"/>
      <c r="S204" s="15"/>
      <c r="T204" s="15"/>
      <c r="U204" s="15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1"/>
      <c r="AQ204" s="11"/>
      <c r="AR204" s="11"/>
      <c r="AS204" s="11"/>
      <c r="AT204" s="11"/>
      <c r="AU204" s="11"/>
      <c r="AV204" s="11"/>
      <c r="AW204" s="11"/>
      <c r="AX204" s="34"/>
      <c r="AY204" s="34"/>
      <c r="AZ204" s="34"/>
      <c r="BA204" s="35"/>
      <c r="BB204" s="36"/>
      <c r="BC204" s="36"/>
      <c r="BD204" s="36"/>
      <c r="BE204" s="36"/>
      <c r="BF204" s="36"/>
      <c r="BG204" s="36"/>
      <c r="BH204" s="37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</row>
    <row r="205" spans="1:85" x14ac:dyDescent="0.3">
      <c r="A205" s="197"/>
      <c r="B205" s="174"/>
      <c r="C205" s="17"/>
      <c r="D205" s="202"/>
      <c r="E205" s="206"/>
      <c r="F205" s="18"/>
      <c r="G205" s="7"/>
      <c r="H205" s="19"/>
      <c r="I205" s="19"/>
      <c r="J205" s="20"/>
      <c r="K205" s="20"/>
      <c r="L205" s="244"/>
      <c r="M205" s="20"/>
      <c r="N205" s="20"/>
      <c r="O205" s="228"/>
      <c r="P205" s="242"/>
      <c r="Q205" s="263"/>
      <c r="R205" s="7"/>
      <c r="S205" s="22"/>
      <c r="T205" s="22"/>
      <c r="U205" s="22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1"/>
      <c r="AS205" s="11"/>
      <c r="AT205" s="11"/>
      <c r="AU205" s="23"/>
      <c r="AV205" s="21" t="s">
        <v>29</v>
      </c>
      <c r="AW205" s="181" t="e">
        <f>+#REF!</f>
        <v>#REF!</v>
      </c>
      <c r="AX205" s="19" t="e">
        <f>SUM(#REF!)</f>
        <v>#REF!</v>
      </c>
      <c r="AY205" s="7" t="s">
        <v>146</v>
      </c>
      <c r="AZ205" s="7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</row>
    <row r="206" spans="1:85" x14ac:dyDescent="0.3">
      <c r="A206" s="197"/>
      <c r="B206" s="175"/>
      <c r="C206" s="17"/>
      <c r="D206" s="202"/>
      <c r="E206" s="206"/>
      <c r="F206" s="19"/>
      <c r="G206" s="7"/>
      <c r="H206" s="213" t="s">
        <v>47</v>
      </c>
      <c r="I206" s="216" t="s">
        <v>48</v>
      </c>
      <c r="J206" s="219" t="s">
        <v>62</v>
      </c>
      <c r="K206" s="223"/>
      <c r="L206" s="247"/>
      <c r="M206" s="190"/>
      <c r="N206" s="191" t="s">
        <v>575</v>
      </c>
      <c r="O206" s="191" t="s">
        <v>578</v>
      </c>
      <c r="P206" s="190"/>
      <c r="Q206" s="264"/>
      <c r="R206" s="24"/>
      <c r="S206" s="7"/>
      <c r="T206" s="22"/>
      <c r="U206" s="22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6" t="s">
        <v>50</v>
      </c>
      <c r="AW206" s="17">
        <f>SUM(R202:AW202)</f>
        <v>0</v>
      </c>
      <c r="AX206" s="19" t="e">
        <f>SUM(#REF!)</f>
        <v>#REF!</v>
      </c>
      <c r="AY206" s="7" t="s">
        <v>145</v>
      </c>
      <c r="AZ206" s="7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</row>
    <row r="207" spans="1:85" ht="14.4" customHeight="1" x14ac:dyDescent="0.3">
      <c r="A207" s="197"/>
      <c r="B207" s="174"/>
      <c r="C207" s="17"/>
      <c r="D207" s="202"/>
      <c r="E207" s="206"/>
      <c r="F207" s="18"/>
      <c r="G207" s="7"/>
      <c r="H207" s="214" t="s">
        <v>52</v>
      </c>
      <c r="I207" s="217" t="s">
        <v>43</v>
      </c>
      <c r="J207" s="220" t="s">
        <v>44</v>
      </c>
      <c r="K207" s="224" t="s">
        <v>45</v>
      </c>
      <c r="L207" s="248" t="s">
        <v>46</v>
      </c>
      <c r="M207" s="191"/>
      <c r="N207" s="191" t="s">
        <v>577</v>
      </c>
      <c r="O207" s="229" t="s">
        <v>577</v>
      </c>
      <c r="P207" s="191"/>
      <c r="Q207" s="265"/>
      <c r="R207" s="7"/>
      <c r="S207" s="22"/>
      <c r="T207" s="22"/>
      <c r="U207" s="22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6" t="s">
        <v>51</v>
      </c>
      <c r="AW207" s="25" t="e">
        <f>+AW205-AW206</f>
        <v>#REF!</v>
      </c>
      <c r="AX207" s="19" t="e">
        <f>SUM(#REF!)</f>
        <v>#REF!</v>
      </c>
      <c r="AY207" s="7" t="s">
        <v>200</v>
      </c>
      <c r="AZ207" s="7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</row>
    <row r="208" spans="1:85" x14ac:dyDescent="0.3">
      <c r="A208" s="197"/>
      <c r="B208" s="174"/>
      <c r="C208" s="17"/>
      <c r="D208" s="202"/>
      <c r="E208" s="206"/>
      <c r="F208" s="18"/>
      <c r="G208" s="7"/>
      <c r="H208" s="212"/>
      <c r="I208" s="215" t="s">
        <v>183</v>
      </c>
      <c r="J208" s="218">
        <v>44447</v>
      </c>
      <c r="K208" s="222"/>
      <c r="L208" s="249">
        <v>10041</v>
      </c>
      <c r="M208" s="192"/>
      <c r="N208" s="192">
        <v>10041</v>
      </c>
      <c r="O208" s="226"/>
      <c r="P208" s="192"/>
      <c r="Q208" s="266"/>
      <c r="R208" s="7"/>
      <c r="S208" s="22"/>
      <c r="T208" s="22"/>
      <c r="U208" s="22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7"/>
      <c r="AO208" s="235" t="s">
        <v>60</v>
      </c>
      <c r="AP208" s="236"/>
      <c r="AQ208" s="237"/>
      <c r="AR208" s="237"/>
      <c r="AS208" s="19"/>
      <c r="AT208" s="19"/>
      <c r="AU208" s="19"/>
      <c r="AV208" s="19"/>
      <c r="AW208" s="19"/>
      <c r="AX208" s="19" t="e">
        <f>#REF!</f>
        <v>#REF!</v>
      </c>
      <c r="AY208" s="7" t="s">
        <v>63</v>
      </c>
      <c r="AZ208" s="7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</row>
    <row r="209" spans="1:85" x14ac:dyDescent="0.3">
      <c r="A209" s="197"/>
      <c r="B209" s="174"/>
      <c r="C209" s="17"/>
      <c r="D209" s="202"/>
      <c r="E209" s="206"/>
      <c r="F209" s="18"/>
      <c r="G209" s="7"/>
      <c r="H209" s="212"/>
      <c r="I209" s="215" t="s">
        <v>184</v>
      </c>
      <c r="J209" s="218">
        <v>44447</v>
      </c>
      <c r="K209" s="222"/>
      <c r="L209" s="249">
        <v>-437.35</v>
      </c>
      <c r="M209" s="192"/>
      <c r="N209" s="192"/>
      <c r="O209" s="226">
        <v>-351.81</v>
      </c>
      <c r="P209" s="192"/>
      <c r="Q209" s="266"/>
      <c r="R209" s="26"/>
      <c r="S209" s="22"/>
      <c r="T209" s="22"/>
      <c r="U209" s="22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233">
        <f>+V202+W202+X202+Y202</f>
        <v>0</v>
      </c>
      <c r="AP209" s="27" t="s">
        <v>201</v>
      </c>
      <c r="AQ209" s="28"/>
      <c r="AR209" s="28"/>
      <c r="AS209" s="19"/>
      <c r="AT209" s="19"/>
      <c r="AU209" s="19"/>
      <c r="AV209" s="19"/>
      <c r="AW209" s="19"/>
      <c r="AX209" s="19" t="e">
        <f>SUM(AX206:AX208)</f>
        <v>#REF!</v>
      </c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</row>
    <row r="210" spans="1:85" ht="14.4" customHeight="1" x14ac:dyDescent="0.3">
      <c r="A210" s="197"/>
      <c r="B210" s="174"/>
      <c r="C210" s="17"/>
      <c r="D210" s="202"/>
      <c r="E210" s="206"/>
      <c r="F210" s="18"/>
      <c r="G210" s="7"/>
      <c r="H210" s="212"/>
      <c r="I210" s="215" t="s">
        <v>430</v>
      </c>
      <c r="J210" s="218">
        <v>44449</v>
      </c>
      <c r="K210" s="222">
        <v>0.72916666666666663</v>
      </c>
      <c r="L210" s="245">
        <v>2345</v>
      </c>
      <c r="M210" s="192"/>
      <c r="N210" s="192">
        <f t="shared" ref="N210:N215" si="1">+L210</f>
        <v>2345</v>
      </c>
      <c r="O210" s="226"/>
      <c r="P210" s="192"/>
      <c r="Q210" s="266"/>
      <c r="R210" s="7" t="s">
        <v>37</v>
      </c>
      <c r="S210" s="22"/>
      <c r="T210" s="22"/>
      <c r="U210" s="22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233">
        <f>+Z202</f>
        <v>0</v>
      </c>
      <c r="AP210" s="27" t="s">
        <v>20</v>
      </c>
      <c r="AQ210" s="28"/>
      <c r="AR210" s="28"/>
      <c r="AS210" s="19"/>
      <c r="AT210" s="19"/>
      <c r="AU210" s="19"/>
      <c r="AV210" s="19"/>
      <c r="AW210" s="19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</row>
    <row r="211" spans="1:85" x14ac:dyDescent="0.3">
      <c r="A211" s="197"/>
      <c r="B211" s="174"/>
      <c r="C211" s="17"/>
      <c r="D211" s="202"/>
      <c r="E211" s="206"/>
      <c r="F211" s="18"/>
      <c r="G211" s="7"/>
      <c r="H211" s="212" t="s">
        <v>37</v>
      </c>
      <c r="I211" s="215" t="s">
        <v>511</v>
      </c>
      <c r="J211" s="218">
        <v>44449</v>
      </c>
      <c r="K211" s="222">
        <v>0.875</v>
      </c>
      <c r="L211" s="249">
        <v>680</v>
      </c>
      <c r="M211" s="192"/>
      <c r="N211" s="192">
        <f t="shared" si="1"/>
        <v>680</v>
      </c>
      <c r="O211" s="226"/>
      <c r="P211" s="192"/>
      <c r="Q211" s="266"/>
      <c r="R211" s="7"/>
      <c r="S211" s="22"/>
      <c r="T211" s="22"/>
      <c r="U211" s="22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233">
        <f>SUM(AA202:AW202)</f>
        <v>0</v>
      </c>
      <c r="AP211" s="27" t="s">
        <v>56</v>
      </c>
      <c r="AQ211" s="28"/>
      <c r="AR211" s="28"/>
      <c r="AS211" s="19"/>
      <c r="AT211" s="19"/>
      <c r="AU211" s="19"/>
      <c r="AV211" s="19"/>
      <c r="AW211" s="19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</row>
    <row r="212" spans="1:85" ht="14.4" customHeight="1" x14ac:dyDescent="0.3">
      <c r="A212" s="197"/>
      <c r="B212" s="174"/>
      <c r="C212" s="17"/>
      <c r="D212" s="202"/>
      <c r="E212" s="206"/>
      <c r="F212" s="18"/>
      <c r="G212" s="7"/>
      <c r="H212" s="212" t="s">
        <v>37</v>
      </c>
      <c r="I212" s="215" t="s">
        <v>513</v>
      </c>
      <c r="J212" s="218">
        <v>44450</v>
      </c>
      <c r="K212" s="222">
        <v>0.5</v>
      </c>
      <c r="L212" s="245">
        <v>350</v>
      </c>
      <c r="M212" s="192"/>
      <c r="N212" s="192">
        <f t="shared" si="1"/>
        <v>350</v>
      </c>
      <c r="O212" s="226"/>
      <c r="P212" s="192"/>
      <c r="Q212" s="266"/>
      <c r="R212" s="7"/>
      <c r="S212" s="22"/>
      <c r="T212" s="22"/>
      <c r="U212" s="22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233">
        <f>R202</f>
        <v>0</v>
      </c>
      <c r="AP212" s="27" t="s">
        <v>8</v>
      </c>
      <c r="AQ212" s="28"/>
      <c r="AR212" s="28"/>
      <c r="AS212" s="19"/>
      <c r="AT212" s="19"/>
      <c r="AU212" s="19"/>
      <c r="AV212" s="19"/>
      <c r="AW212" s="19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</row>
    <row r="213" spans="1:85" ht="14.4" customHeight="1" x14ac:dyDescent="0.3">
      <c r="A213" s="197"/>
      <c r="B213" s="174"/>
      <c r="C213" s="17"/>
      <c r="D213" s="202"/>
      <c r="E213" s="206"/>
      <c r="F213" s="18"/>
      <c r="G213" s="7"/>
      <c r="H213" s="212" t="s">
        <v>37</v>
      </c>
      <c r="I213" s="215" t="s">
        <v>512</v>
      </c>
      <c r="J213" s="218">
        <v>44450</v>
      </c>
      <c r="K213" s="222">
        <v>0.6875</v>
      </c>
      <c r="L213" s="245">
        <v>765</v>
      </c>
      <c r="M213" s="192"/>
      <c r="N213" s="192">
        <f t="shared" si="1"/>
        <v>765</v>
      </c>
      <c r="O213" s="226"/>
      <c r="P213" s="192"/>
      <c r="Q213" s="266"/>
      <c r="R213" s="7"/>
      <c r="S213" s="22"/>
      <c r="T213" s="22"/>
      <c r="U213" s="22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233">
        <v>4</v>
      </c>
      <c r="AP213" s="27" t="s">
        <v>57</v>
      </c>
      <c r="AQ213" s="28"/>
      <c r="AR213" s="28"/>
      <c r="AS213" s="19"/>
      <c r="AT213" s="19"/>
      <c r="AU213" s="19"/>
      <c r="AV213" s="19"/>
      <c r="AW213" s="19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</row>
    <row r="214" spans="1:85" x14ac:dyDescent="0.3">
      <c r="A214" s="197"/>
      <c r="B214" s="174"/>
      <c r="C214" s="17"/>
      <c r="D214" s="202"/>
      <c r="E214" s="206"/>
      <c r="F214" s="18"/>
      <c r="G214" s="7"/>
      <c r="H214" s="212" t="s">
        <v>37</v>
      </c>
      <c r="I214" s="215" t="s">
        <v>540</v>
      </c>
      <c r="J214" s="221">
        <v>44462</v>
      </c>
      <c r="K214" s="222"/>
      <c r="L214" s="245">
        <v>300</v>
      </c>
      <c r="M214" s="192"/>
      <c r="N214" s="192">
        <f t="shared" si="1"/>
        <v>300</v>
      </c>
      <c r="O214" s="226"/>
      <c r="P214" s="192"/>
      <c r="Q214" s="266"/>
      <c r="R214" s="7"/>
      <c r="S214" s="22"/>
      <c r="T214" s="22"/>
      <c r="U214" s="22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234">
        <v>15</v>
      </c>
      <c r="AP214" s="27" t="s">
        <v>58</v>
      </c>
      <c r="AQ214" s="28"/>
      <c r="AR214" s="28"/>
      <c r="AS214" s="19"/>
      <c r="AT214" s="19"/>
      <c r="AU214" s="19"/>
      <c r="AV214" s="19"/>
      <c r="AW214" s="19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</row>
    <row r="215" spans="1:85" ht="14.4" customHeight="1" x14ac:dyDescent="0.3">
      <c r="A215" s="197"/>
      <c r="B215" s="174"/>
      <c r="C215" s="17"/>
      <c r="D215" s="202"/>
      <c r="E215" s="206"/>
      <c r="F215" s="18"/>
      <c r="G215" s="7"/>
      <c r="H215" s="212" t="s">
        <v>37</v>
      </c>
      <c r="I215" s="215" t="s">
        <v>185</v>
      </c>
      <c r="J215" s="218">
        <v>44449</v>
      </c>
      <c r="K215" s="222"/>
      <c r="L215" s="245">
        <v>2884.5</v>
      </c>
      <c r="M215" s="192"/>
      <c r="N215" s="192">
        <f t="shared" si="1"/>
        <v>2884.5</v>
      </c>
      <c r="O215" s="226"/>
      <c r="P215" s="192"/>
      <c r="Q215" s="266"/>
      <c r="R215" s="7"/>
      <c r="S215" s="114">
        <f>SUM(L210:L218)</f>
        <v>7945.5762235632637</v>
      </c>
      <c r="T215" s="22"/>
      <c r="U215" s="22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234">
        <v>15</v>
      </c>
      <c r="AP215" s="27" t="s">
        <v>204</v>
      </c>
      <c r="AQ215" s="28"/>
      <c r="AR215" s="28"/>
      <c r="AS215" s="19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</row>
    <row r="216" spans="1:85" ht="14.4" customHeight="1" x14ac:dyDescent="0.3">
      <c r="A216" s="197"/>
      <c r="B216" s="174"/>
      <c r="C216" s="17"/>
      <c r="D216" s="202"/>
      <c r="E216" s="206"/>
      <c r="F216" s="18"/>
      <c r="G216" s="7"/>
      <c r="H216" s="212" t="s">
        <v>37</v>
      </c>
      <c r="I216" s="215" t="s">
        <v>186</v>
      </c>
      <c r="J216" s="218">
        <v>44451</v>
      </c>
      <c r="K216" s="222"/>
      <c r="L216" s="245">
        <v>-81.698941594967323</v>
      </c>
      <c r="M216" s="192"/>
      <c r="N216" s="192"/>
      <c r="O216" s="226">
        <f>+L216</f>
        <v>-81.698941594967323</v>
      </c>
      <c r="P216" s="192"/>
      <c r="Q216" s="266"/>
      <c r="R216" s="7"/>
      <c r="S216" s="114">
        <f>-L216</f>
        <v>81.698941594967323</v>
      </c>
      <c r="T216" s="22"/>
      <c r="U216" s="22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S216" s="19"/>
      <c r="AT216" s="19"/>
      <c r="AU216" s="19"/>
      <c r="AV216" s="19"/>
      <c r="AW216" s="19"/>
      <c r="AX216" s="38"/>
      <c r="AY216" s="166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</row>
    <row r="217" spans="1:85" ht="14.4" customHeight="1" x14ac:dyDescent="0.3">
      <c r="A217" s="197"/>
      <c r="B217" s="174"/>
      <c r="C217" s="17"/>
      <c r="D217" s="202"/>
      <c r="E217" s="206"/>
      <c r="F217" s="18"/>
      <c r="G217" s="7"/>
      <c r="H217" s="212"/>
      <c r="I217" s="215" t="s">
        <v>187</v>
      </c>
      <c r="J217" s="218">
        <v>44451</v>
      </c>
      <c r="K217" s="222"/>
      <c r="L217" s="245">
        <v>725</v>
      </c>
      <c r="M217" s="192"/>
      <c r="N217" s="192">
        <f>+L217</f>
        <v>725</v>
      </c>
      <c r="O217" s="226"/>
      <c r="P217" s="192"/>
      <c r="Q217" s="266"/>
      <c r="R217" s="7"/>
      <c r="S217" s="114">
        <f>-L218</f>
        <v>22.224834841769123</v>
      </c>
      <c r="T217" s="22"/>
      <c r="U217" s="22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S217" s="19"/>
      <c r="AT217" s="19"/>
      <c r="AU217" s="19"/>
      <c r="AV217" s="19"/>
      <c r="AW217" s="19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</row>
    <row r="218" spans="1:85" ht="14.4" customHeight="1" x14ac:dyDescent="0.3">
      <c r="A218" s="197"/>
      <c r="B218" s="174"/>
      <c r="C218" s="17"/>
      <c r="D218" s="202"/>
      <c r="E218" s="206"/>
      <c r="F218" s="18"/>
      <c r="G218" s="7"/>
      <c r="H218" s="212"/>
      <c r="I218" s="215" t="s">
        <v>188</v>
      </c>
      <c r="J218" s="218">
        <v>44451</v>
      </c>
      <c r="K218" s="222"/>
      <c r="L218" s="245">
        <v>-22.224834841769123</v>
      </c>
      <c r="M218" s="192"/>
      <c r="N218" s="192"/>
      <c r="O218" s="226">
        <f>+L218</f>
        <v>-22.224834841769123</v>
      </c>
      <c r="P218" s="192"/>
      <c r="Q218" s="266"/>
      <c r="R218" s="7"/>
      <c r="S218" s="114">
        <f>SUM(S215:S217)</f>
        <v>8049.5</v>
      </c>
      <c r="T218" s="22"/>
      <c r="U218" s="22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S218" s="19"/>
      <c r="AT218" s="19"/>
      <c r="AU218" s="19"/>
      <c r="AV218" s="19"/>
      <c r="AW218" s="19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</row>
    <row r="219" spans="1:85" ht="14.4" customHeight="1" x14ac:dyDescent="0.3">
      <c r="A219" s="197"/>
      <c r="B219" s="174"/>
      <c r="C219" s="17"/>
      <c r="D219" s="202"/>
      <c r="E219" s="206"/>
      <c r="F219" s="18"/>
      <c r="G219" s="19"/>
      <c r="H219" s="19"/>
      <c r="I219" s="19"/>
      <c r="J219" s="20"/>
      <c r="K219" s="242"/>
      <c r="L219" s="298"/>
      <c r="M219" s="242"/>
      <c r="N219" s="299">
        <f>SUM(N208:N218)</f>
        <v>18090.5</v>
      </c>
      <c r="O219" s="299">
        <f>SUM(O208:O218)</f>
        <v>-455.73377643673643</v>
      </c>
      <c r="P219" s="242">
        <f>+N219+O219</f>
        <v>17634.766223563263</v>
      </c>
      <c r="Q219" s="263"/>
      <c r="R219" s="7"/>
      <c r="S219" s="22"/>
      <c r="T219" s="22"/>
      <c r="U219" s="22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S219" s="19"/>
      <c r="AT219" s="19"/>
      <c r="AU219" s="19"/>
      <c r="AV219" s="19"/>
      <c r="AW219" s="19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</row>
    <row r="220" spans="1:85" ht="14.4" customHeight="1" x14ac:dyDescent="0.3">
      <c r="A220" s="197"/>
      <c r="B220" s="174"/>
      <c r="C220" s="17"/>
      <c r="D220" s="202"/>
      <c r="E220" s="206"/>
      <c r="F220" s="18"/>
      <c r="G220" s="19"/>
      <c r="I220" s="179" t="s">
        <v>202</v>
      </c>
      <c r="J220" s="20">
        <f>+N219</f>
        <v>18090.5</v>
      </c>
      <c r="K220" s="242" t="s">
        <v>574</v>
      </c>
      <c r="L220" s="298">
        <v>18548</v>
      </c>
      <c r="M220" s="242"/>
      <c r="N220" s="319">
        <f>-L220</f>
        <v>-18548</v>
      </c>
      <c r="O220" s="322" t="s">
        <v>579</v>
      </c>
      <c r="P220" s="242"/>
      <c r="Q220" s="263"/>
      <c r="R220" s="7"/>
      <c r="S220" s="22"/>
      <c r="T220" s="22"/>
      <c r="U220" s="22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S220" s="19"/>
      <c r="AT220" s="19"/>
      <c r="AU220" s="19"/>
      <c r="AV220" s="19"/>
      <c r="AW220" s="19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</row>
    <row r="221" spans="1:85" ht="14.4" customHeight="1" x14ac:dyDescent="0.3">
      <c r="A221" s="199"/>
      <c r="D221" s="204"/>
      <c r="E221" s="208"/>
      <c r="I221" s="179" t="s">
        <v>189</v>
      </c>
      <c r="J221" s="20">
        <f>+L209+L216+L218</f>
        <v>-541.27377643673651</v>
      </c>
      <c r="K221" s="242"/>
      <c r="L221" s="298"/>
      <c r="M221" s="242"/>
      <c r="N221" s="299">
        <f>+N219+N220</f>
        <v>-457.5</v>
      </c>
      <c r="O221" s="323" t="s">
        <v>556</v>
      </c>
      <c r="P221" s="242"/>
      <c r="Q221" s="263"/>
    </row>
    <row r="222" spans="1:85" x14ac:dyDescent="0.3">
      <c r="I222" s="180"/>
      <c r="N222" s="320">
        <v>170</v>
      </c>
      <c r="O222" s="178" t="s">
        <v>580</v>
      </c>
    </row>
    <row r="223" spans="1:85" ht="10.8" thickBot="1" x14ac:dyDescent="0.35">
      <c r="I223" s="180" t="s">
        <v>193</v>
      </c>
      <c r="J223" s="58">
        <f>+J220+J221</f>
        <v>17549.226223563262</v>
      </c>
      <c r="N223" s="321">
        <f>+N221+N222</f>
        <v>-287.5</v>
      </c>
      <c r="O223" s="178" t="s">
        <v>581</v>
      </c>
    </row>
    <row r="224" spans="1:85" ht="10.8" thickTop="1" x14ac:dyDescent="0.3">
      <c r="I224" s="180"/>
    </row>
    <row r="225" spans="9:64" x14ac:dyDescent="0.3">
      <c r="I225" s="180" t="s">
        <v>164</v>
      </c>
      <c r="J225" s="58">
        <v>9424</v>
      </c>
    </row>
    <row r="226" spans="9:64" x14ac:dyDescent="0.3">
      <c r="I226" s="180" t="s">
        <v>190</v>
      </c>
      <c r="J226" s="58">
        <v>-662.5</v>
      </c>
      <c r="K226" s="178"/>
    </row>
    <row r="227" spans="9:64" x14ac:dyDescent="0.3">
      <c r="I227" s="180" t="s">
        <v>191</v>
      </c>
      <c r="J227" s="58">
        <v>-315</v>
      </c>
      <c r="K227" s="178" t="s">
        <v>203</v>
      </c>
    </row>
    <row r="228" spans="9:64" x14ac:dyDescent="0.3">
      <c r="I228" s="180" t="s">
        <v>194</v>
      </c>
      <c r="J228" s="58">
        <v>-1000</v>
      </c>
      <c r="K228" s="178" t="s">
        <v>195</v>
      </c>
    </row>
    <row r="229" spans="9:64" x14ac:dyDescent="0.3">
      <c r="I229" s="180" t="s">
        <v>197</v>
      </c>
      <c r="J229" s="58">
        <v>-200</v>
      </c>
      <c r="K229" s="178" t="s">
        <v>198</v>
      </c>
    </row>
    <row r="230" spans="9:64" x14ac:dyDescent="0.3">
      <c r="I230" s="180" t="s">
        <v>196</v>
      </c>
      <c r="J230" s="58">
        <f>SUM(J225:J229)</f>
        <v>7246.5</v>
      </c>
      <c r="K230" s="178"/>
    </row>
    <row r="231" spans="9:64" x14ac:dyDescent="0.3">
      <c r="I231" s="180"/>
      <c r="K231" s="178"/>
    </row>
    <row r="232" spans="9:64" x14ac:dyDescent="0.3">
      <c r="I232" s="180"/>
      <c r="K232" s="178"/>
    </row>
    <row r="233" spans="9:64" x14ac:dyDescent="0.3">
      <c r="I233" s="180"/>
      <c r="K233" s="178"/>
    </row>
    <row r="234" spans="9:64" x14ac:dyDescent="0.3">
      <c r="I234" s="180"/>
      <c r="K234" s="178"/>
      <c r="L234" s="58"/>
      <c r="P234" s="178"/>
      <c r="Q234" s="29"/>
      <c r="R234" s="30"/>
      <c r="U234" s="31"/>
      <c r="AW234" s="39"/>
      <c r="BL234" s="29"/>
    </row>
    <row r="235" spans="9:64" x14ac:dyDescent="0.3">
      <c r="I235" s="180"/>
      <c r="K235" s="178"/>
      <c r="L235" s="58"/>
      <c r="P235" s="178"/>
      <c r="Q235" s="29"/>
      <c r="R235" s="30"/>
      <c r="U235" s="31"/>
      <c r="AW235" s="39"/>
      <c r="BL235" s="29"/>
    </row>
    <row r="236" spans="9:64" x14ac:dyDescent="0.3">
      <c r="I236" s="180"/>
      <c r="K236" s="178"/>
      <c r="L236" s="58"/>
      <c r="P236" s="178"/>
      <c r="Q236" s="29"/>
      <c r="R236" s="30"/>
      <c r="U236" s="31"/>
      <c r="AW236" s="39"/>
      <c r="BL236" s="29"/>
    </row>
    <row r="237" spans="9:64" x14ac:dyDescent="0.3">
      <c r="I237" s="180"/>
      <c r="L237" s="58"/>
      <c r="P237" s="178"/>
      <c r="Q237" s="29"/>
      <c r="R237" s="30"/>
      <c r="U237" s="31"/>
      <c r="AW237" s="39"/>
      <c r="BL237" s="29"/>
    </row>
    <row r="238" spans="9:64" x14ac:dyDescent="0.3">
      <c r="L238" s="58"/>
      <c r="P238" s="178"/>
      <c r="Q238" s="29"/>
      <c r="R238" s="30"/>
      <c r="U238" s="31"/>
      <c r="AW238" s="39"/>
      <c r="BL238" s="29"/>
    </row>
    <row r="239" spans="9:64" x14ac:dyDescent="0.3">
      <c r="L239" s="58"/>
      <c r="P239" s="178"/>
      <c r="Q239" s="29"/>
      <c r="R239" s="30"/>
      <c r="U239" s="31"/>
      <c r="AW239" s="39"/>
      <c r="BL239" s="29"/>
    </row>
    <row r="240" spans="9:64" x14ac:dyDescent="0.3">
      <c r="L240" s="58"/>
      <c r="P240" s="178"/>
      <c r="Q240" s="29"/>
      <c r="R240" s="30"/>
      <c r="U240" s="31"/>
      <c r="AW240" s="39"/>
      <c r="BL240" s="29"/>
    </row>
    <row r="241" spans="12:64" x14ac:dyDescent="0.3">
      <c r="L241" s="58"/>
      <c r="P241" s="178"/>
      <c r="Q241" s="29"/>
      <c r="R241" s="30"/>
      <c r="U241" s="31"/>
      <c r="AW241" s="39"/>
      <c r="BL241" s="29"/>
    </row>
    <row r="242" spans="12:64" x14ac:dyDescent="0.3">
      <c r="L242" s="58"/>
      <c r="P242" s="178"/>
      <c r="Q242" s="29"/>
      <c r="R242" s="30"/>
      <c r="U242" s="31"/>
      <c r="AW242" s="39"/>
      <c r="BL242" s="29"/>
    </row>
    <row r="243" spans="12:64" x14ac:dyDescent="0.3">
      <c r="L243" s="58"/>
      <c r="P243" s="178"/>
      <c r="Q243" s="29"/>
      <c r="R243" s="30"/>
      <c r="U243" s="31"/>
      <c r="AW243" s="39"/>
      <c r="BL243" s="29"/>
    </row>
    <row r="244" spans="12:64" x14ac:dyDescent="0.3">
      <c r="L244" s="58"/>
      <c r="P244" s="178"/>
      <c r="Q244" s="29"/>
      <c r="R244" s="30"/>
      <c r="U244" s="31"/>
      <c r="AW244" s="39"/>
      <c r="BL244" s="29"/>
    </row>
    <row r="245" spans="12:64" x14ac:dyDescent="0.3">
      <c r="L245" s="58"/>
      <c r="P245" s="178"/>
      <c r="Q245" s="29"/>
      <c r="R245" s="30"/>
      <c r="U245" s="31"/>
      <c r="AW245" s="39"/>
      <c r="BL245" s="29"/>
    </row>
    <row r="246" spans="12:64" x14ac:dyDescent="0.3">
      <c r="L246" s="58"/>
      <c r="P246" s="178"/>
      <c r="Q246" s="29"/>
      <c r="R246" s="30"/>
      <c r="U246" s="31"/>
      <c r="AW246" s="39"/>
      <c r="BL246" s="29"/>
    </row>
    <row r="247" spans="12:64" x14ac:dyDescent="0.3">
      <c r="L247" s="58"/>
      <c r="P247" s="178"/>
      <c r="Q247" s="29"/>
      <c r="R247" s="30"/>
      <c r="U247" s="31"/>
      <c r="AW247" s="39"/>
      <c r="BL247" s="29"/>
    </row>
    <row r="248" spans="12:64" x14ac:dyDescent="0.3">
      <c r="L248" s="58"/>
      <c r="P248" s="178"/>
      <c r="Q248" s="29"/>
      <c r="R248" s="30"/>
      <c r="U248" s="31"/>
      <c r="AW248" s="39"/>
      <c r="BL248" s="29"/>
    </row>
    <row r="249" spans="12:64" x14ac:dyDescent="0.3">
      <c r="L249" s="58"/>
      <c r="P249" s="178"/>
      <c r="Q249" s="29"/>
      <c r="R249" s="30"/>
      <c r="U249" s="31"/>
      <c r="AW249" s="39"/>
      <c r="BL249" s="29"/>
    </row>
    <row r="250" spans="12:64" x14ac:dyDescent="0.3">
      <c r="L250" s="58"/>
      <c r="P250" s="178"/>
      <c r="Q250" s="29"/>
      <c r="R250" s="30"/>
      <c r="U250" s="31"/>
      <c r="AW250" s="39"/>
      <c r="BL250" s="29"/>
    </row>
    <row r="251" spans="12:64" x14ac:dyDescent="0.3">
      <c r="L251" s="58"/>
      <c r="P251" s="178"/>
      <c r="Q251" s="29"/>
      <c r="R251" s="30"/>
      <c r="U251" s="31"/>
      <c r="AW251" s="39"/>
      <c r="BL251" s="29"/>
    </row>
  </sheetData>
  <sheetProtection formatCells="0" formatColumns="0" formatRows="0" insertColumns="0" insertRows="0" selectLockedCells="1" sort="0"/>
  <autoFilter ref="A9:BQ204" xr:uid="{D8FC3931-344C-4F73-9898-1F1DA43BBF66}">
    <sortState xmlns:xlrd2="http://schemas.microsoft.com/office/spreadsheetml/2017/richdata2" ref="A10:BQ204">
      <sortCondition ref="Q9:Q204"/>
    </sortState>
  </autoFilter>
  <sortState xmlns:xlrd2="http://schemas.microsoft.com/office/spreadsheetml/2017/richdata2" ref="A28:CG96">
    <sortCondition ref="A28:A96"/>
  </sortState>
  <mergeCells count="2">
    <mergeCell ref="AX8:BL8"/>
    <mergeCell ref="D2:J3"/>
  </mergeCells>
  <phoneticPr fontId="32" type="noConversion"/>
  <conditionalFormatting sqref="L28 L127:O143 M28:O29 L18:L25 L160:L202 Q13:Q16 Q25:Q26 Q22:Q23 Q30 Q127:Q143 M17:O26 L30:N35 L10:O16 Q32:Q78 Q80:Q84 N79 Q86:Q125 L80:O125 L204:L221 L36:O78">
    <cfRule type="expression" dxfId="31" priority="210">
      <formula>$L10&lt;&gt;$K10</formula>
    </cfRule>
  </conditionalFormatting>
  <conditionalFormatting sqref="AX28:BG28 BI28 BL28 AX127:BG143 BI127:BI143 BL127:BL143 AX18:BG25 BI18:BI25 BL18:BL25 AX10:BG16 BI10:BI16 BL10:BL16 BH10:BH78 BJ10:BK78 AX30:BG125 BI30:BI125 BL30:BL125 BH80:BH143 BJ80:BK143">
    <cfRule type="cellIs" dxfId="30" priority="204" operator="greaterThan">
      <formula>0</formula>
    </cfRule>
  </conditionalFormatting>
  <conditionalFormatting sqref="R28:AW28 R127:AW143 R18:AW25 R10:AW16 R30:AW125">
    <cfRule type="cellIs" dxfId="29" priority="203" operator="greaterThan">
      <formula>0</formula>
    </cfRule>
  </conditionalFormatting>
  <conditionalFormatting sqref="R83:AW83">
    <cfRule type="cellIs" dxfId="28" priority="48" operator="greaterThan">
      <formula>0</formula>
    </cfRule>
  </conditionalFormatting>
  <conditionalFormatting sqref="BQ28 BQ127:BQ143 BQ18:BQ25 BQ10:BQ16 BQ30:BQ125">
    <cfRule type="cellIs" dxfId="27" priority="47" operator="greaterThan">
      <formula>2</formula>
    </cfRule>
  </conditionalFormatting>
  <conditionalFormatting sqref="AX84:BG84 BI84 BL84">
    <cfRule type="cellIs" dxfId="26" priority="46" operator="greaterThan">
      <formula>0</formula>
    </cfRule>
  </conditionalFormatting>
  <conditionalFormatting sqref="R84:AW84">
    <cfRule type="cellIs" dxfId="25" priority="44" operator="greaterThan">
      <formula>0</formula>
    </cfRule>
  </conditionalFormatting>
  <conditionalFormatting sqref="BQ84">
    <cfRule type="cellIs" dxfId="24" priority="43" operator="greaterThan">
      <formula>2</formula>
    </cfRule>
  </conditionalFormatting>
  <conditionalFormatting sqref="L29">
    <cfRule type="expression" dxfId="23" priority="42">
      <formula>$L29&lt;&gt;$K29</formula>
    </cfRule>
  </conditionalFormatting>
  <conditionalFormatting sqref="AX29:BG29 BI29 BL29">
    <cfRule type="cellIs" dxfId="22" priority="41" operator="greaterThan">
      <formula>0</formula>
    </cfRule>
  </conditionalFormatting>
  <conditionalFormatting sqref="R29:AW29">
    <cfRule type="cellIs" dxfId="21" priority="40" operator="greaterThan">
      <formula>0</formula>
    </cfRule>
  </conditionalFormatting>
  <conditionalFormatting sqref="BQ29">
    <cfRule type="cellIs" dxfId="20" priority="39" operator="greaterThan">
      <formula>2</formula>
    </cfRule>
  </conditionalFormatting>
  <conditionalFormatting sqref="L26">
    <cfRule type="expression" dxfId="19" priority="38">
      <formula>$L26&lt;&gt;$K26</formula>
    </cfRule>
  </conditionalFormatting>
  <conditionalFormatting sqref="AX26:BG26 BI26 BL26">
    <cfRule type="cellIs" dxfId="18" priority="37" operator="greaterThan">
      <formula>0</formula>
    </cfRule>
  </conditionalFormatting>
  <conditionalFormatting sqref="R26:AW26">
    <cfRule type="cellIs" dxfId="17" priority="36" operator="greaterThan">
      <formula>0</formula>
    </cfRule>
  </conditionalFormatting>
  <conditionalFormatting sqref="BQ26">
    <cfRule type="cellIs" dxfId="16" priority="35" operator="greaterThan">
      <formula>2</formula>
    </cfRule>
  </conditionalFormatting>
  <conditionalFormatting sqref="L17">
    <cfRule type="expression" dxfId="15" priority="26">
      <formula>$L17&lt;&gt;$K17</formula>
    </cfRule>
  </conditionalFormatting>
  <conditionalFormatting sqref="AX17:BG17 BI17 BL17">
    <cfRule type="cellIs" dxfId="14" priority="25" operator="greaterThan">
      <formula>0</formula>
    </cfRule>
  </conditionalFormatting>
  <conditionalFormatting sqref="R17:AW17">
    <cfRule type="cellIs" dxfId="13" priority="24" operator="greaterThan">
      <formula>0</formula>
    </cfRule>
  </conditionalFormatting>
  <conditionalFormatting sqref="BQ17">
    <cfRule type="cellIs" dxfId="12" priority="23" operator="greaterThan">
      <formula>2</formula>
    </cfRule>
  </conditionalFormatting>
  <conditionalFormatting sqref="M27:O27 Q27">
    <cfRule type="expression" dxfId="11" priority="17">
      <formula>$L27&lt;&gt;$K27</formula>
    </cfRule>
  </conditionalFormatting>
  <conditionalFormatting sqref="L27">
    <cfRule type="expression" dxfId="10" priority="16">
      <formula>$L27&lt;&gt;$K27</formula>
    </cfRule>
  </conditionalFormatting>
  <conditionalFormatting sqref="AX27:BG27 BI27 BL27">
    <cfRule type="cellIs" dxfId="9" priority="15" operator="greaterThan">
      <formula>0</formula>
    </cfRule>
  </conditionalFormatting>
  <conditionalFormatting sqref="R27:AW27">
    <cfRule type="cellIs" dxfId="8" priority="14" operator="greaterThan">
      <formula>0</formula>
    </cfRule>
  </conditionalFormatting>
  <conditionalFormatting sqref="BQ27">
    <cfRule type="cellIs" dxfId="7" priority="13" operator="greaterThan">
      <formula>2</formula>
    </cfRule>
  </conditionalFormatting>
  <conditionalFormatting sqref="AX82:BG82 BI82 BL82">
    <cfRule type="cellIs" dxfId="6" priority="11" operator="greaterThan">
      <formula>0</formula>
    </cfRule>
  </conditionalFormatting>
  <conditionalFormatting sqref="R82:AW82">
    <cfRule type="cellIs" dxfId="5" priority="9" operator="greaterThan">
      <formula>0</formula>
    </cfRule>
  </conditionalFormatting>
  <conditionalFormatting sqref="BQ82">
    <cfRule type="cellIs" dxfId="4" priority="8" operator="greaterThan">
      <formula>2</formula>
    </cfRule>
  </conditionalFormatting>
  <conditionalFormatting sqref="L126:O126 Q126">
    <cfRule type="expression" dxfId="3" priority="7">
      <formula>$L126&lt;&gt;$K126</formula>
    </cfRule>
  </conditionalFormatting>
  <conditionalFormatting sqref="AX126:BG126 BI126 BL126">
    <cfRule type="cellIs" dxfId="2" priority="6" operator="greaterThan">
      <formula>0</formula>
    </cfRule>
  </conditionalFormatting>
  <conditionalFormatting sqref="R126:AW126">
    <cfRule type="cellIs" dxfId="1" priority="5" operator="greaterThan">
      <formula>0</formula>
    </cfRule>
  </conditionalFormatting>
  <conditionalFormatting sqref="BQ126">
    <cfRule type="cellIs" dxfId="0" priority="4" operator="greaterThan">
      <formula>2</formula>
    </cfRule>
  </conditionalFormatting>
  <dataValidations xWindow="458" yWindow="614" count="5">
    <dataValidation allowBlank="1" showInputMessage="1" showErrorMessage="1" prompt="If Child or Kid Leave Blank" sqref="B40:B48 B53:B73 C40:C73 B10:C39 B74:C143" xr:uid="{00000000-0002-0000-0000-000005000000}"/>
    <dataValidation allowBlank="1" showInputMessage="1" showErrorMessage="1" prompt="First &amp; Last" sqref="Q31 Q28:Q29 Q24 A10:A78 Q85 Q10:Q21 A80:A143" xr:uid="{00000000-0002-0000-0000-000001000000}"/>
    <dataValidation allowBlank="1" showInputMessage="1" showErrorMessage="1" prompt="Only enter only &quot;1&quot; per row in ONLY one column" sqref="R10:AW78 R80:AW143" xr:uid="{00000000-0002-0000-0000-000002000000}"/>
    <dataValidation allowBlank="1" showInputMessage="1" showErrorMessage="1" prompt="Enter Clean Date or the number zero." sqref="D10:D78 D80:D143" xr:uid="{00000000-0002-0000-0000-000003000000}"/>
    <dataValidation type="decimal" operator="greaterThanOrEqual" allowBlank="1" showInputMessage="1" showErrorMessage="1" prompt="Enter only Positve Numbers_x000a_Total Paid Formula will Subtract_x000a_" sqref="H10:I78 H80:I143" xr:uid="{00000000-0002-0000-0000-000004000000}">
      <formula1>0</formula1>
    </dataValidation>
  </dataValidations>
  <pageMargins left="0.7" right="0.7" top="0.75" bottom="0.75" header="0.3" footer="0.3"/>
  <pageSetup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58" yWindow="614" count="1">
        <x14:dataValidation type="list" allowBlank="1" showInputMessage="1" showErrorMessage="1" xr:uid="{00000000-0002-0000-0000-000000000000}">
          <x14:formula1>
            <xm:f>'Who (Discount Reason)'!$A$2:$A$19</xm:f>
          </x14:formula1>
          <xm:sqref>G10:G78 G80:G143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4" sqref="A4"/>
    </sheetView>
  </sheetViews>
  <sheetFormatPr defaultColWidth="8.88671875" defaultRowHeight="14.4" x14ac:dyDescent="0.3"/>
  <cols>
    <col min="1" max="1" width="18.6640625" bestFit="1" customWidth="1"/>
    <col min="2" max="2" width="15.6640625" customWidth="1"/>
  </cols>
  <sheetData>
    <row r="1" spans="1:1" x14ac:dyDescent="0.3">
      <c r="A1" s="32" t="s">
        <v>100</v>
      </c>
    </row>
    <row r="2" spans="1:1" x14ac:dyDescent="0.3">
      <c r="A2" t="s">
        <v>38</v>
      </c>
    </row>
    <row r="3" spans="1:1" x14ac:dyDescent="0.3">
      <c r="A3" t="s">
        <v>6</v>
      </c>
    </row>
    <row r="4" spans="1:1" x14ac:dyDescent="0.3">
      <c r="A4" t="s">
        <v>42</v>
      </c>
    </row>
    <row r="5" spans="1:1" x14ac:dyDescent="0.3">
      <c r="A5" t="s">
        <v>94</v>
      </c>
    </row>
    <row r="6" spans="1:1" x14ac:dyDescent="0.3">
      <c r="A6" t="s">
        <v>101</v>
      </c>
    </row>
    <row r="7" spans="1:1" x14ac:dyDescent="0.3">
      <c r="A7" t="s">
        <v>27</v>
      </c>
    </row>
    <row r="8" spans="1:1" x14ac:dyDescent="0.3">
      <c r="A8" t="s">
        <v>39</v>
      </c>
    </row>
    <row r="9" spans="1:1" x14ac:dyDescent="0.3">
      <c r="A9" t="s">
        <v>172</v>
      </c>
    </row>
    <row r="10" spans="1:1" x14ac:dyDescent="0.3">
      <c r="A10" t="s">
        <v>28</v>
      </c>
    </row>
    <row r="11" spans="1:1" x14ac:dyDescent="0.3">
      <c r="A11" t="s">
        <v>539</v>
      </c>
    </row>
    <row r="12" spans="1:1" x14ac:dyDescent="0.3">
      <c r="A12" t="s">
        <v>96</v>
      </c>
    </row>
    <row r="13" spans="1:1" x14ac:dyDescent="0.3">
      <c r="A13" t="s">
        <v>97</v>
      </c>
    </row>
    <row r="14" spans="1:1" x14ac:dyDescent="0.3">
      <c r="A14" t="s">
        <v>95</v>
      </c>
    </row>
    <row r="15" spans="1:1" x14ac:dyDescent="0.3">
      <c r="A15" t="s">
        <v>171</v>
      </c>
    </row>
    <row r="16" spans="1:1" x14ac:dyDescent="0.3">
      <c r="A16" t="s">
        <v>538</v>
      </c>
    </row>
  </sheetData>
  <sortState xmlns:xlrd2="http://schemas.microsoft.com/office/spreadsheetml/2017/richdata2" ref="A2:A11">
    <sortCondition ref="A2"/>
  </sortState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2"/>
  <sheetViews>
    <sheetView workbookViewId="0">
      <selection activeCell="B8" sqref="B8"/>
    </sheetView>
  </sheetViews>
  <sheetFormatPr defaultColWidth="24.6640625" defaultRowHeight="42.75" customHeight="1" x14ac:dyDescent="0.3"/>
  <cols>
    <col min="1" max="1" width="30.6640625" style="2" customWidth="1"/>
    <col min="2" max="3" width="17" style="2" customWidth="1"/>
    <col min="4" max="4" width="30.6640625" style="2" customWidth="1"/>
    <col min="5" max="5" width="17" style="2" customWidth="1"/>
    <col min="6" max="16384" width="24.6640625" style="2"/>
  </cols>
  <sheetData>
    <row r="1" spans="1:5" ht="25.8" x14ac:dyDescent="0.3">
      <c r="A1" s="1" t="s">
        <v>69</v>
      </c>
      <c r="B1" s="1" t="s">
        <v>70</v>
      </c>
      <c r="D1" s="1" t="s">
        <v>69</v>
      </c>
      <c r="E1" s="1" t="s">
        <v>70</v>
      </c>
    </row>
    <row r="2" spans="1:5" ht="42.75" customHeight="1" x14ac:dyDescent="0.3">
      <c r="A2" s="2" t="s">
        <v>83</v>
      </c>
      <c r="B2" s="2">
        <v>165</v>
      </c>
      <c r="D2" s="2" t="s">
        <v>82</v>
      </c>
      <c r="E2" s="2">
        <v>310</v>
      </c>
    </row>
    <row r="3" spans="1:5" ht="42.75" customHeight="1" x14ac:dyDescent="0.3">
      <c r="A3" s="2" t="s">
        <v>87</v>
      </c>
      <c r="B3" s="2">
        <v>130</v>
      </c>
      <c r="D3" s="2" t="s">
        <v>64</v>
      </c>
      <c r="E3" s="2">
        <v>250</v>
      </c>
    </row>
    <row r="4" spans="1:5" ht="42.75" customHeight="1" x14ac:dyDescent="0.3">
      <c r="A4" s="2" t="s">
        <v>81</v>
      </c>
      <c r="B4" s="2">
        <v>450</v>
      </c>
      <c r="D4" s="2" t="s">
        <v>76</v>
      </c>
      <c r="E4" s="2">
        <v>300</v>
      </c>
    </row>
    <row r="5" spans="1:5" ht="42.75" customHeight="1" x14ac:dyDescent="0.3">
      <c r="A5" s="2" t="s">
        <v>74</v>
      </c>
      <c r="B5" s="2">
        <v>165</v>
      </c>
      <c r="D5" s="2" t="s">
        <v>77</v>
      </c>
      <c r="E5" s="2">
        <v>465</v>
      </c>
    </row>
    <row r="6" spans="1:5" ht="42.75" customHeight="1" x14ac:dyDescent="0.3">
      <c r="A6" s="2" t="s">
        <v>71</v>
      </c>
      <c r="B6" s="2">
        <v>95</v>
      </c>
      <c r="D6" s="2" t="s">
        <v>73</v>
      </c>
      <c r="E6" s="2">
        <v>220</v>
      </c>
    </row>
    <row r="7" spans="1:5" ht="42.75" customHeight="1" x14ac:dyDescent="0.3">
      <c r="A7" s="2" t="s">
        <v>75</v>
      </c>
      <c r="B7" s="2">
        <v>215</v>
      </c>
      <c r="D7" s="2" t="s">
        <v>85</v>
      </c>
      <c r="E7" s="2">
        <v>230</v>
      </c>
    </row>
    <row r="8" spans="1:5" ht="42.75" customHeight="1" x14ac:dyDescent="0.3">
      <c r="A8" s="2" t="s">
        <v>66</v>
      </c>
      <c r="B8" s="2">
        <v>100</v>
      </c>
      <c r="D8" s="2" t="s">
        <v>84</v>
      </c>
      <c r="E8" s="2">
        <v>105</v>
      </c>
    </row>
    <row r="9" spans="1:5" ht="42.75" customHeight="1" x14ac:dyDescent="0.3">
      <c r="A9" s="2" t="s">
        <v>65</v>
      </c>
      <c r="B9" s="2">
        <v>265</v>
      </c>
      <c r="D9" s="2" t="s">
        <v>78</v>
      </c>
      <c r="E9" s="2">
        <v>375</v>
      </c>
    </row>
    <row r="10" spans="1:5" ht="42.75" customHeight="1" x14ac:dyDescent="0.3">
      <c r="A10" s="2" t="s">
        <v>80</v>
      </c>
      <c r="B10" s="2">
        <v>230</v>
      </c>
      <c r="D10" s="2" t="s">
        <v>72</v>
      </c>
      <c r="E10" s="2">
        <v>115</v>
      </c>
    </row>
    <row r="11" spans="1:5" ht="42.75" customHeight="1" x14ac:dyDescent="0.3">
      <c r="A11" s="2" t="s">
        <v>68</v>
      </c>
      <c r="B11" s="2">
        <v>55</v>
      </c>
      <c r="D11" s="2" t="s">
        <v>67</v>
      </c>
      <c r="E11" s="2">
        <v>40</v>
      </c>
    </row>
    <row r="12" spans="1:5" ht="42.75" customHeight="1" x14ac:dyDescent="0.3">
      <c r="A12" s="2" t="s">
        <v>86</v>
      </c>
      <c r="B12" s="2">
        <v>75</v>
      </c>
      <c r="D12" s="2" t="s">
        <v>79</v>
      </c>
      <c r="E12" s="2">
        <v>500</v>
      </c>
    </row>
  </sheetData>
  <sortState xmlns:xlrd2="http://schemas.microsoft.com/office/spreadsheetml/2017/richdata2" ref="A2:B30">
    <sortCondition ref="A11"/>
  </sortState>
  <printOptions horizontalCentered="1"/>
  <pageMargins left="0.7" right="0.7" top="0.75" bottom="0.75" header="0.3" footer="0.3"/>
  <pageSetup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8"/>
  <sheetViews>
    <sheetView topLeftCell="A24" zoomScaleNormal="100" zoomScaleSheetLayoutView="75" workbookViewId="0">
      <selection activeCell="D36" sqref="D36"/>
    </sheetView>
  </sheetViews>
  <sheetFormatPr defaultColWidth="8.88671875" defaultRowHeight="14.4" x14ac:dyDescent="0.3"/>
  <cols>
    <col min="1" max="1" width="24.6640625" style="117" customWidth="1"/>
    <col min="2" max="2" width="30.33203125" style="116" bestFit="1" customWidth="1"/>
    <col min="3" max="3" width="13.6640625" style="115" customWidth="1"/>
    <col min="4" max="5" width="13.6640625" customWidth="1"/>
    <col min="6" max="6" width="26" style="115" bestFit="1" customWidth="1"/>
    <col min="7" max="7" width="22.88671875" style="115" bestFit="1" customWidth="1"/>
    <col min="8" max="8" width="8" style="115" bestFit="1" customWidth="1"/>
    <col min="9" max="9" width="10.33203125" style="115" bestFit="1" customWidth="1"/>
    <col min="10" max="10" width="11.109375" style="115" bestFit="1" customWidth="1"/>
    <col min="11" max="16" width="9.109375" style="115"/>
  </cols>
  <sheetData>
    <row r="1" spans="1:5" ht="25.8" x14ac:dyDescent="0.5">
      <c r="A1" s="125" t="s">
        <v>516</v>
      </c>
      <c r="B1" s="125"/>
    </row>
    <row r="2" spans="1:5" hidden="1" x14ac:dyDescent="0.3">
      <c r="B2" s="121" t="s">
        <v>109</v>
      </c>
      <c r="C2" s="135" t="s">
        <v>110</v>
      </c>
    </row>
    <row r="3" spans="1:5" hidden="1" x14ac:dyDescent="0.3">
      <c r="B3" s="122" t="s">
        <v>116</v>
      </c>
      <c r="C3" s="139" t="s">
        <v>174</v>
      </c>
    </row>
    <row r="4" spans="1:5" hidden="1" x14ac:dyDescent="0.3">
      <c r="B4" s="120" t="s">
        <v>156</v>
      </c>
      <c r="C4" s="167">
        <v>189</v>
      </c>
    </row>
    <row r="5" spans="1:5" hidden="1" x14ac:dyDescent="0.3">
      <c r="B5" s="120" t="s">
        <v>157</v>
      </c>
      <c r="C5" s="140" t="s">
        <v>175</v>
      </c>
    </row>
    <row r="6" spans="1:5" hidden="1" x14ac:dyDescent="0.3">
      <c r="B6" s="120" t="s">
        <v>158</v>
      </c>
      <c r="C6" s="118" t="s">
        <v>176</v>
      </c>
      <c r="D6" t="s">
        <v>5</v>
      </c>
      <c r="E6">
        <f>365*0.97</f>
        <v>354.05</v>
      </c>
    </row>
    <row r="7" spans="1:5" hidden="1" x14ac:dyDescent="0.3">
      <c r="B7" s="120" t="s">
        <v>159</v>
      </c>
      <c r="C7" s="118">
        <v>39885</v>
      </c>
    </row>
    <row r="8" spans="1:5" hidden="1" x14ac:dyDescent="0.3">
      <c r="B8" s="120"/>
      <c r="C8" s="118"/>
    </row>
    <row r="9" spans="1:5" hidden="1" x14ac:dyDescent="0.3">
      <c r="A9" s="126" t="s">
        <v>103</v>
      </c>
      <c r="B9" s="118">
        <v>14</v>
      </c>
    </row>
    <row r="10" spans="1:5" hidden="1" x14ac:dyDescent="0.3">
      <c r="A10" s="126" t="s">
        <v>20</v>
      </c>
      <c r="B10" s="141">
        <v>21</v>
      </c>
    </row>
    <row r="11" spans="1:5" hidden="1" x14ac:dyDescent="0.3">
      <c r="A11" s="126" t="s">
        <v>21</v>
      </c>
      <c r="B11" s="141">
        <v>13</v>
      </c>
    </row>
    <row r="12" spans="1:5" hidden="1" x14ac:dyDescent="0.3">
      <c r="A12" s="126" t="s">
        <v>56</v>
      </c>
      <c r="B12" s="141">
        <v>92</v>
      </c>
    </row>
    <row r="13" spans="1:5" hidden="1" x14ac:dyDescent="0.3">
      <c r="A13" s="126" t="s">
        <v>8</v>
      </c>
      <c r="B13" s="141">
        <v>16</v>
      </c>
    </row>
    <row r="14" spans="1:5" hidden="1" x14ac:dyDescent="0.3">
      <c r="A14" s="126" t="s">
        <v>57</v>
      </c>
      <c r="B14" s="141">
        <v>3</v>
      </c>
    </row>
    <row r="15" spans="1:5" hidden="1" x14ac:dyDescent="0.3">
      <c r="A15" s="126" t="s">
        <v>58</v>
      </c>
      <c r="B15" s="141">
        <v>15</v>
      </c>
    </row>
    <row r="16" spans="1:5" hidden="1" x14ac:dyDescent="0.3">
      <c r="A16" s="126" t="s">
        <v>59</v>
      </c>
      <c r="B16" s="141">
        <v>18</v>
      </c>
    </row>
    <row r="17" spans="1:16" hidden="1" x14ac:dyDescent="0.3">
      <c r="A17" s="126" t="s">
        <v>148</v>
      </c>
      <c r="B17" s="141">
        <v>139</v>
      </c>
    </row>
    <row r="18" spans="1:16" hidden="1" x14ac:dyDescent="0.3">
      <c r="A18" s="126" t="s">
        <v>149</v>
      </c>
      <c r="B18" s="141">
        <v>138</v>
      </c>
    </row>
    <row r="19" spans="1:16" hidden="1" x14ac:dyDescent="0.3">
      <c r="A19" s="126" t="s">
        <v>152</v>
      </c>
      <c r="B19" s="141">
        <v>166</v>
      </c>
    </row>
    <row r="20" spans="1:16" hidden="1" x14ac:dyDescent="0.3">
      <c r="A20" s="126" t="s">
        <v>150</v>
      </c>
      <c r="B20" s="141"/>
    </row>
    <row r="21" spans="1:16" hidden="1" x14ac:dyDescent="0.3">
      <c r="A21" s="126" t="s">
        <v>151</v>
      </c>
      <c r="B21" s="141"/>
    </row>
    <row r="22" spans="1:16" hidden="1" x14ac:dyDescent="0.3"/>
    <row r="23" spans="1:16" hidden="1" x14ac:dyDescent="0.3"/>
    <row r="24" spans="1:16" s="129" customFormat="1" ht="18" x14ac:dyDescent="0.35">
      <c r="A24" s="127" t="s">
        <v>155</v>
      </c>
      <c r="B24" s="128"/>
      <c r="C24" s="136"/>
      <c r="F24" s="115"/>
      <c r="G24" s="115"/>
      <c r="H24" s="115"/>
      <c r="I24" s="136"/>
      <c r="J24" s="136"/>
      <c r="K24" s="136"/>
      <c r="L24" s="136"/>
      <c r="M24" s="136"/>
      <c r="N24" s="136"/>
      <c r="O24" s="136"/>
      <c r="P24" s="136"/>
    </row>
    <row r="25" spans="1:16" s="119" customFormat="1" x14ac:dyDescent="0.3">
      <c r="A25" s="133" t="s">
        <v>44</v>
      </c>
      <c r="B25" s="134" t="s">
        <v>45</v>
      </c>
      <c r="C25" s="134" t="s">
        <v>46</v>
      </c>
      <c r="D25" s="134" t="s">
        <v>160</v>
      </c>
      <c r="F25" s="115"/>
      <c r="G25" s="115"/>
      <c r="H25" s="115"/>
      <c r="I25" s="134"/>
      <c r="J25" s="134"/>
      <c r="K25" s="134"/>
      <c r="L25" s="134"/>
      <c r="M25" s="134"/>
      <c r="N25" s="134"/>
      <c r="O25" s="134"/>
      <c r="P25" s="134"/>
    </row>
    <row r="26" spans="1:16" hidden="1" x14ac:dyDescent="0.3">
      <c r="A26" s="130"/>
      <c r="B26" s="131"/>
      <c r="D26" s="115">
        <f>+C26</f>
        <v>0</v>
      </c>
    </row>
    <row r="27" spans="1:16" hidden="1" x14ac:dyDescent="0.3">
      <c r="A27" s="130"/>
      <c r="B27" s="131"/>
      <c r="D27" s="115"/>
    </row>
    <row r="28" spans="1:16" x14ac:dyDescent="0.3">
      <c r="A28" s="130">
        <v>44449</v>
      </c>
      <c r="B28" s="131" t="s">
        <v>529</v>
      </c>
      <c r="C28" s="115">
        <v>2345</v>
      </c>
      <c r="D28" s="115">
        <f t="shared" ref="D28:D36" si="0">+D27+C28</f>
        <v>2345</v>
      </c>
    </row>
    <row r="29" spans="1:16" x14ac:dyDescent="0.3">
      <c r="A29" s="130">
        <v>44449</v>
      </c>
      <c r="B29" s="131" t="s">
        <v>173</v>
      </c>
      <c r="C29" s="115">
        <v>680</v>
      </c>
      <c r="D29" s="115">
        <f t="shared" si="0"/>
        <v>3025</v>
      </c>
    </row>
    <row r="30" spans="1:16" x14ac:dyDescent="0.3">
      <c r="A30" s="130">
        <v>44450</v>
      </c>
      <c r="B30" s="131" t="s">
        <v>542</v>
      </c>
      <c r="C30" s="115">
        <v>350</v>
      </c>
      <c r="D30" s="115">
        <f t="shared" si="0"/>
        <v>3375</v>
      </c>
    </row>
    <row r="31" spans="1:16" x14ac:dyDescent="0.3">
      <c r="A31" s="130">
        <v>44450</v>
      </c>
      <c r="B31" s="131" t="s">
        <v>517</v>
      </c>
      <c r="C31" s="115">
        <v>765</v>
      </c>
      <c r="D31" s="115">
        <f t="shared" si="0"/>
        <v>4140</v>
      </c>
    </row>
    <row r="32" spans="1:16" x14ac:dyDescent="0.3">
      <c r="A32" s="130">
        <v>44450</v>
      </c>
      <c r="B32" s="131" t="s">
        <v>530</v>
      </c>
      <c r="C32" s="115">
        <v>5281.5</v>
      </c>
      <c r="D32" s="115">
        <f t="shared" si="0"/>
        <v>9421.5</v>
      </c>
    </row>
    <row r="33" spans="1:9" x14ac:dyDescent="0.3">
      <c r="A33" s="130">
        <v>44451</v>
      </c>
      <c r="B33" s="131" t="s">
        <v>531</v>
      </c>
      <c r="C33" s="115">
        <v>4040</v>
      </c>
      <c r="D33" s="115">
        <f t="shared" si="0"/>
        <v>13461.5</v>
      </c>
    </row>
    <row r="34" spans="1:9" x14ac:dyDescent="0.3">
      <c r="A34" s="130">
        <v>44451</v>
      </c>
      <c r="B34" s="131" t="s">
        <v>532</v>
      </c>
      <c r="C34" s="115">
        <v>10041</v>
      </c>
      <c r="D34" s="115">
        <f>+D32+C34</f>
        <v>19462.5</v>
      </c>
    </row>
    <row r="35" spans="1:9" x14ac:dyDescent="0.3">
      <c r="A35" s="130">
        <v>44462</v>
      </c>
      <c r="B35" s="131" t="s">
        <v>541</v>
      </c>
      <c r="C35" s="115">
        <v>300</v>
      </c>
      <c r="D35" s="115">
        <f>+D34+C35</f>
        <v>19762.5</v>
      </c>
    </row>
    <row r="36" spans="1:9" ht="15" thickBot="1" x14ac:dyDescent="0.35">
      <c r="A36" s="130"/>
      <c r="B36" s="131"/>
      <c r="D36" s="168">
        <f t="shared" si="0"/>
        <v>19762.5</v>
      </c>
    </row>
    <row r="37" spans="1:9" ht="15" thickTop="1" x14ac:dyDescent="0.3">
      <c r="A37" s="116"/>
      <c r="B37"/>
    </row>
    <row r="38" spans="1:9" ht="18" x14ac:dyDescent="0.35">
      <c r="A38" s="128" t="s">
        <v>161</v>
      </c>
      <c r="B38"/>
    </row>
    <row r="39" spans="1:9" x14ac:dyDescent="0.3">
      <c r="A39" s="134" t="s">
        <v>109</v>
      </c>
      <c r="B39" s="134" t="s">
        <v>162</v>
      </c>
      <c r="C39" s="134" t="s">
        <v>46</v>
      </c>
      <c r="D39" s="134" t="s">
        <v>160</v>
      </c>
    </row>
    <row r="40" spans="1:9" x14ac:dyDescent="0.3">
      <c r="A40" s="124" t="s">
        <v>528</v>
      </c>
      <c r="B40" s="132" t="s">
        <v>514</v>
      </c>
      <c r="C40" s="115">
        <v>76.45</v>
      </c>
      <c r="D40" s="137">
        <f>+C40</f>
        <v>76.45</v>
      </c>
    </row>
    <row r="41" spans="1:9" x14ac:dyDescent="0.3">
      <c r="A41" s="124" t="s">
        <v>163</v>
      </c>
      <c r="B41" s="132" t="s">
        <v>533</v>
      </c>
      <c r="C41" s="115">
        <v>87.15</v>
      </c>
      <c r="D41" s="137">
        <f>+D40+C41</f>
        <v>163.60000000000002</v>
      </c>
    </row>
    <row r="42" spans="1:9" x14ac:dyDescent="0.3">
      <c r="A42" s="124" t="s">
        <v>515</v>
      </c>
      <c r="B42" s="132" t="s">
        <v>534</v>
      </c>
      <c r="C42" s="115">
        <v>89.28</v>
      </c>
      <c r="D42" s="137">
        <f t="shared" ref="D42:D49" si="1">+D41+C42</f>
        <v>252.88000000000002</v>
      </c>
    </row>
    <row r="43" spans="1:9" x14ac:dyDescent="0.3">
      <c r="A43" s="124" t="s">
        <v>168</v>
      </c>
      <c r="B43" s="132" t="s">
        <v>543</v>
      </c>
      <c r="C43" s="115">
        <v>437.35</v>
      </c>
      <c r="D43" s="137">
        <f>+D41+C43</f>
        <v>600.95000000000005</v>
      </c>
    </row>
    <row r="44" spans="1:9" x14ac:dyDescent="0.3">
      <c r="A44" s="124" t="s">
        <v>168</v>
      </c>
      <c r="B44" s="132" t="s">
        <v>535</v>
      </c>
      <c r="C44" s="115">
        <v>81.698941594967295</v>
      </c>
      <c r="D44" s="137">
        <f>+D42+C44</f>
        <v>334.57894159496732</v>
      </c>
    </row>
    <row r="45" spans="1:9" x14ac:dyDescent="0.3">
      <c r="A45" s="124" t="s">
        <v>168</v>
      </c>
      <c r="B45" s="132" t="s">
        <v>536</v>
      </c>
      <c r="C45" s="115">
        <v>22.224834841769098</v>
      </c>
      <c r="D45" s="137">
        <f>+D44+C45</f>
        <v>356.80377643673643</v>
      </c>
    </row>
    <row r="46" spans="1:9" hidden="1" x14ac:dyDescent="0.3">
      <c r="A46" s="124"/>
      <c r="B46" s="132"/>
      <c r="D46" s="137">
        <f t="shared" si="1"/>
        <v>356.80377643673643</v>
      </c>
    </row>
    <row r="47" spans="1:9" hidden="1" x14ac:dyDescent="0.3">
      <c r="A47" s="124"/>
      <c r="B47" s="132"/>
      <c r="D47" s="137">
        <f t="shared" si="1"/>
        <v>356.80377643673643</v>
      </c>
      <c r="I47" s="145"/>
    </row>
    <row r="48" spans="1:9" hidden="1" x14ac:dyDescent="0.3">
      <c r="A48" s="124"/>
      <c r="B48" s="132"/>
      <c r="D48" s="137">
        <f t="shared" si="1"/>
        <v>356.80377643673643</v>
      </c>
      <c r="I48" s="145"/>
    </row>
    <row r="49" spans="1:16" x14ac:dyDescent="0.3">
      <c r="A49" s="124" t="s">
        <v>165</v>
      </c>
      <c r="B49" s="132" t="s">
        <v>164</v>
      </c>
      <c r="C49" s="169"/>
      <c r="D49" s="137">
        <f t="shared" si="1"/>
        <v>356.80377643673643</v>
      </c>
      <c r="I49" s="145"/>
    </row>
    <row r="50" spans="1:16" x14ac:dyDescent="0.3">
      <c r="A50" s="124"/>
      <c r="B50" s="132"/>
      <c r="I50"/>
    </row>
    <row r="51" spans="1:16" ht="18" x14ac:dyDescent="0.35">
      <c r="A51" s="144" t="s">
        <v>166</v>
      </c>
      <c r="B51" s="142"/>
      <c r="I51" s="145"/>
    </row>
    <row r="52" spans="1:16" x14ac:dyDescent="0.3">
      <c r="A52" s="142" t="s">
        <v>167</v>
      </c>
      <c r="B52" s="142">
        <f>+D36</f>
        <v>19762.5</v>
      </c>
    </row>
    <row r="53" spans="1:16" x14ac:dyDescent="0.3">
      <c r="A53" s="142" t="s">
        <v>161</v>
      </c>
      <c r="B53" s="142">
        <f>+D49</f>
        <v>356.80377643673643</v>
      </c>
    </row>
    <row r="54" spans="1:16" ht="15" thickBot="1" x14ac:dyDescent="0.35">
      <c r="A54" s="143" t="s">
        <v>551</v>
      </c>
      <c r="B54" s="143">
        <f>+B52-B53</f>
        <v>19405.696223563264</v>
      </c>
    </row>
    <row r="55" spans="1:16" ht="15" thickTop="1" x14ac:dyDescent="0.3">
      <c r="A55" s="123"/>
      <c r="B55" s="124"/>
    </row>
    <row r="56" spans="1:16" ht="18" x14ac:dyDescent="0.35">
      <c r="A56" s="146"/>
      <c r="B56" s="115"/>
      <c r="C56"/>
      <c r="E56" s="115"/>
      <c r="P56"/>
    </row>
    <row r="57" spans="1:16" ht="16.2" x14ac:dyDescent="0.45">
      <c r="A57" s="138"/>
      <c r="B57" s="138"/>
      <c r="C57" s="138"/>
      <c r="D57" s="138"/>
      <c r="E57" s="115"/>
      <c r="P57"/>
    </row>
    <row r="58" spans="1:16" x14ac:dyDescent="0.3">
      <c r="A58" s="131"/>
      <c r="B58" s="115"/>
      <c r="D58" s="115"/>
      <c r="E58" s="115"/>
      <c r="P58"/>
    </row>
    <row r="59" spans="1:16" x14ac:dyDescent="0.3">
      <c r="A59" s="131"/>
      <c r="B59" s="115"/>
      <c r="D59" s="115"/>
      <c r="E59" s="115"/>
      <c r="P59"/>
    </row>
    <row r="60" spans="1:16" x14ac:dyDescent="0.3">
      <c r="A60" s="131"/>
      <c r="B60" s="115"/>
      <c r="D60" s="115"/>
      <c r="E60" s="115"/>
      <c r="P60"/>
    </row>
    <row r="61" spans="1:16" x14ac:dyDescent="0.3">
      <c r="A61" s="131"/>
      <c r="B61" s="115"/>
      <c r="D61" s="115"/>
      <c r="E61" s="115"/>
      <c r="P61"/>
    </row>
    <row r="62" spans="1:16" x14ac:dyDescent="0.3">
      <c r="A62" s="131"/>
      <c r="B62" s="115"/>
      <c r="D62" s="115"/>
      <c r="E62" s="115"/>
      <c r="P62"/>
    </row>
    <row r="63" spans="1:16" x14ac:dyDescent="0.3">
      <c r="A63" s="131"/>
      <c r="B63" s="115"/>
      <c r="D63" s="183"/>
      <c r="E63" s="115"/>
      <c r="P63"/>
    </row>
    <row r="64" spans="1:16" x14ac:dyDescent="0.3">
      <c r="A64" s="115"/>
      <c r="B64" s="115"/>
      <c r="D64" s="183"/>
      <c r="E64" s="115"/>
      <c r="P64"/>
    </row>
    <row r="65" spans="1:16" x14ac:dyDescent="0.3">
      <c r="A65" s="123"/>
      <c r="B65" s="115"/>
      <c r="C65"/>
      <c r="D65" s="184"/>
      <c r="E65" s="115"/>
      <c r="P65"/>
    </row>
    <row r="66" spans="1:16" x14ac:dyDescent="0.3">
      <c r="A66" s="123"/>
      <c r="B66" s="115"/>
      <c r="C66"/>
      <c r="D66" s="184"/>
      <c r="E66" s="115"/>
      <c r="P66"/>
    </row>
    <row r="67" spans="1:16" x14ac:dyDescent="0.3">
      <c r="A67" s="123"/>
      <c r="B67" s="124"/>
    </row>
    <row r="68" spans="1:16" x14ac:dyDescent="0.3">
      <c r="A68" s="123"/>
      <c r="B68" s="124"/>
    </row>
  </sheetData>
  <printOptions horizontalCentered="1"/>
  <pageMargins left="0.45" right="0.45" top="0.5" bottom="0.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1"/>
  <sheetViews>
    <sheetView workbookViewId="0">
      <selection activeCell="M24" sqref="M24"/>
    </sheetView>
  </sheetViews>
  <sheetFormatPr defaultColWidth="11.109375" defaultRowHeight="14.4" x14ac:dyDescent="0.3"/>
  <cols>
    <col min="1" max="1" width="16.109375" style="67" bestFit="1" customWidth="1"/>
    <col min="2" max="2" width="4.109375" style="71" bestFit="1" customWidth="1"/>
    <col min="3" max="3" width="14.33203125" style="65" bestFit="1" customWidth="1"/>
    <col min="4" max="5" width="11.109375" style="65"/>
    <col min="6" max="6" width="18" style="67" bestFit="1" customWidth="1"/>
    <col min="7" max="16384" width="11.109375" style="67"/>
  </cols>
  <sheetData>
    <row r="1" spans="1:17" s="71" customFormat="1" x14ac:dyDescent="0.3">
      <c r="A1" s="69" t="s">
        <v>109</v>
      </c>
      <c r="B1" s="69" t="s">
        <v>110</v>
      </c>
      <c r="C1" s="70" t="s">
        <v>111</v>
      </c>
      <c r="D1" s="70" t="s">
        <v>61</v>
      </c>
      <c r="F1" s="305" t="s">
        <v>544</v>
      </c>
      <c r="G1" s="305"/>
    </row>
    <row r="2" spans="1:17" x14ac:dyDescent="0.3">
      <c r="A2" s="185" t="s">
        <v>8</v>
      </c>
      <c r="B2" s="75" t="e">
        <f>+'2021 Registation'!#REF!</f>
        <v>#REF!</v>
      </c>
      <c r="C2" s="66">
        <v>50</v>
      </c>
      <c r="D2" s="66" t="e">
        <f>+B2*C2</f>
        <v>#REF!</v>
      </c>
      <c r="E2" s="67"/>
      <c r="F2" s="65" t="s">
        <v>6</v>
      </c>
      <c r="G2" s="65">
        <v>200</v>
      </c>
      <c r="H2" s="68"/>
      <c r="I2" s="68"/>
      <c r="J2" s="68"/>
      <c r="K2" s="68"/>
      <c r="L2" s="68"/>
      <c r="M2" s="68"/>
      <c r="N2" s="68"/>
      <c r="O2" s="68"/>
      <c r="P2" s="68"/>
    </row>
    <row r="3" spans="1:17" x14ac:dyDescent="0.3">
      <c r="A3" s="185" t="s">
        <v>33</v>
      </c>
      <c r="B3" s="75" t="e">
        <f>+'2021 Registation'!#REF!</f>
        <v>#REF!</v>
      </c>
      <c r="C3" s="66">
        <v>100</v>
      </c>
      <c r="D3" s="66" t="e">
        <f t="shared" ref="D3:D8" si="0">+B3*C3</f>
        <v>#REF!</v>
      </c>
      <c r="E3" s="67"/>
      <c r="F3" s="65" t="s">
        <v>538</v>
      </c>
      <c r="G3" s="65">
        <v>250</v>
      </c>
      <c r="H3" s="68"/>
      <c r="I3" s="68"/>
      <c r="J3" s="68"/>
      <c r="K3" s="68"/>
      <c r="L3" s="68"/>
      <c r="M3" s="68"/>
      <c r="N3" s="68"/>
      <c r="O3" s="68"/>
      <c r="P3" s="68"/>
    </row>
    <row r="4" spans="1:17" x14ac:dyDescent="0.3">
      <c r="A4" s="185" t="s">
        <v>7</v>
      </c>
      <c r="B4" s="75" t="e">
        <f>+'2021 Registation'!#REF!</f>
        <v>#REF!</v>
      </c>
      <c r="C4" s="66">
        <v>110</v>
      </c>
      <c r="D4" s="66" t="e">
        <f t="shared" si="0"/>
        <v>#REF!</v>
      </c>
      <c r="E4" s="67"/>
      <c r="F4" s="65" t="s">
        <v>539</v>
      </c>
      <c r="G4" s="65">
        <v>315</v>
      </c>
      <c r="H4" s="68"/>
      <c r="I4" s="68"/>
      <c r="J4" s="68"/>
      <c r="K4" s="68"/>
      <c r="L4" s="68"/>
      <c r="M4" s="68"/>
      <c r="N4" s="68"/>
      <c r="O4" s="68"/>
      <c r="P4" s="68"/>
    </row>
    <row r="5" spans="1:17" x14ac:dyDescent="0.3">
      <c r="A5" s="185" t="s">
        <v>212</v>
      </c>
      <c r="B5" s="75" t="e">
        <f>SUM('2021 Registation'!#REF!)</f>
        <v>#REF!</v>
      </c>
      <c r="C5" s="66">
        <v>160</v>
      </c>
      <c r="D5" s="66" t="e">
        <f t="shared" si="0"/>
        <v>#REF!</v>
      </c>
      <c r="E5" s="68"/>
      <c r="F5" s="65" t="s">
        <v>172</v>
      </c>
      <c r="G5" s="65">
        <v>325</v>
      </c>
      <c r="H5" s="68"/>
      <c r="I5" s="68"/>
      <c r="J5" s="68"/>
      <c r="K5" s="68"/>
      <c r="L5" s="68"/>
      <c r="M5" s="68"/>
      <c r="N5" s="68"/>
      <c r="O5" s="68"/>
      <c r="P5" s="68"/>
    </row>
    <row r="6" spans="1:17" x14ac:dyDescent="0.3">
      <c r="A6" s="185" t="s">
        <v>20</v>
      </c>
      <c r="B6" s="75" t="e">
        <f>+'2021 Registation'!#REF!</f>
        <v>#REF!</v>
      </c>
      <c r="C6" s="66">
        <v>140</v>
      </c>
      <c r="D6" s="66" t="e">
        <f t="shared" si="0"/>
        <v>#REF!</v>
      </c>
      <c r="E6" s="68"/>
      <c r="F6" s="65" t="s">
        <v>94</v>
      </c>
      <c r="G6" s="65">
        <v>415</v>
      </c>
      <c r="H6" s="68"/>
      <c r="I6" s="68"/>
      <c r="J6" s="68"/>
      <c r="K6" s="68"/>
      <c r="L6" s="68"/>
      <c r="M6" s="68"/>
      <c r="N6" s="68"/>
      <c r="O6" s="68"/>
      <c r="P6" s="68"/>
    </row>
    <row r="7" spans="1:17" x14ac:dyDescent="0.3">
      <c r="A7" s="185" t="s">
        <v>21</v>
      </c>
      <c r="B7" s="75" t="e">
        <f>+'2021 Registation'!#REF!</f>
        <v>#REF!</v>
      </c>
      <c r="C7" s="66">
        <v>130</v>
      </c>
      <c r="D7" s="66" t="e">
        <f t="shared" si="0"/>
        <v>#REF!</v>
      </c>
      <c r="E7" s="68"/>
      <c r="F7" s="65" t="s">
        <v>42</v>
      </c>
      <c r="G7" s="65">
        <v>625</v>
      </c>
      <c r="H7" s="68"/>
      <c r="I7" s="68"/>
      <c r="J7" s="68"/>
      <c r="K7" s="68"/>
      <c r="L7" s="68"/>
      <c r="M7" s="68"/>
      <c r="N7" s="68"/>
      <c r="O7" s="68"/>
      <c r="P7" s="68"/>
    </row>
    <row r="8" spans="1:17" x14ac:dyDescent="0.3">
      <c r="A8" s="185" t="s">
        <v>115</v>
      </c>
      <c r="B8" s="75" t="e">
        <f>SUM('2021 Registation'!#REF!)</f>
        <v>#REF!</v>
      </c>
      <c r="C8" s="66">
        <v>125</v>
      </c>
      <c r="D8" s="66" t="e">
        <f t="shared" si="0"/>
        <v>#REF!</v>
      </c>
      <c r="E8" s="68"/>
      <c r="F8" s="65" t="s">
        <v>27</v>
      </c>
      <c r="G8" s="65">
        <v>662.5</v>
      </c>
      <c r="H8" s="68"/>
      <c r="I8" s="68"/>
      <c r="J8" s="68"/>
      <c r="K8" s="68"/>
      <c r="L8" s="68"/>
      <c r="M8" s="68"/>
      <c r="N8" s="68"/>
      <c r="O8" s="68"/>
      <c r="P8" s="68"/>
    </row>
    <row r="9" spans="1:17" ht="6.75" customHeight="1" x14ac:dyDescent="0.3">
      <c r="A9" s="68"/>
      <c r="B9" s="75"/>
      <c r="C9" s="66"/>
      <c r="D9" s="66"/>
      <c r="E9" s="68"/>
      <c r="F9" s="65"/>
      <c r="G9" s="65"/>
      <c r="H9" s="68"/>
      <c r="I9" s="68"/>
      <c r="J9" s="68"/>
      <c r="K9" s="68"/>
      <c r="L9" s="68"/>
      <c r="M9" s="68"/>
      <c r="N9" s="68"/>
      <c r="O9" s="68"/>
      <c r="P9" s="68"/>
    </row>
    <row r="10" spans="1:17" ht="15" thickBot="1" x14ac:dyDescent="0.35">
      <c r="A10" s="73" t="s">
        <v>116</v>
      </c>
      <c r="B10" s="76" t="e">
        <f>SUM(B2:B8)</f>
        <v>#REF!</v>
      </c>
      <c r="C10" s="73" t="s">
        <v>112</v>
      </c>
      <c r="D10" s="72" t="e">
        <f>SUM(D2:D8)</f>
        <v>#REF!</v>
      </c>
      <c r="E10" s="67"/>
      <c r="F10" s="68"/>
      <c r="G10" s="72">
        <f>SUM(G2:G8)</f>
        <v>2792.5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ht="6.75" customHeight="1" thickTop="1" x14ac:dyDescent="0.3">
      <c r="A11" s="68"/>
      <c r="B11" s="75"/>
      <c r="C11" s="73"/>
      <c r="D11" s="74"/>
      <c r="E11" s="67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spans="1:17" x14ac:dyDescent="0.3">
      <c r="A12" s="68"/>
      <c r="B12" s="75"/>
      <c r="C12" s="92" t="s">
        <v>154</v>
      </c>
      <c r="D12" s="66" t="e">
        <f>+'2021 Registation'!#REF!</f>
        <v>#REF!</v>
      </c>
      <c r="E12" s="67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spans="1:17" x14ac:dyDescent="0.3">
      <c r="A13" s="68"/>
      <c r="B13" s="75"/>
      <c r="C13" s="92" t="s">
        <v>113</v>
      </c>
      <c r="D13" s="66" t="e">
        <f>+'2021 Registation'!#REF!</f>
        <v>#REF!</v>
      </c>
      <c r="E13" s="67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 x14ac:dyDescent="0.3">
      <c r="A14" s="68"/>
      <c r="B14" s="75"/>
      <c r="C14" s="92" t="s">
        <v>3</v>
      </c>
      <c r="D14" s="66" t="e">
        <f>+'2021 Registation'!#REF!</f>
        <v>#REF!</v>
      </c>
      <c r="E14" s="67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spans="1:17" ht="15" thickBot="1" x14ac:dyDescent="0.35">
      <c r="A15" s="68"/>
      <c r="B15" s="75"/>
      <c r="C15" s="73" t="s">
        <v>114</v>
      </c>
      <c r="D15" s="72" t="e">
        <f>+D10-D12+D14-D13</f>
        <v>#REF!</v>
      </c>
      <c r="E15" s="66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spans="1:17" ht="15" thickTop="1" x14ac:dyDescent="0.3">
      <c r="C16" s="66"/>
      <c r="D16" s="66"/>
      <c r="G16" s="68"/>
    </row>
    <row r="17" spans="7:7" x14ac:dyDescent="0.3">
      <c r="G17" s="68"/>
    </row>
    <row r="18" spans="7:7" ht="28.5" customHeight="1" x14ac:dyDescent="0.3">
      <c r="G18" s="68"/>
    </row>
    <row r="19" spans="7:7" x14ac:dyDescent="0.3">
      <c r="G19" s="68"/>
    </row>
    <row r="20" spans="7:7" x14ac:dyDescent="0.3">
      <c r="G20" s="68"/>
    </row>
    <row r="21" spans="7:7" x14ac:dyDescent="0.3">
      <c r="G21" s="68"/>
    </row>
  </sheetData>
  <sortState xmlns:xlrd2="http://schemas.microsoft.com/office/spreadsheetml/2017/richdata2" ref="A1:S13">
    <sortCondition ref="A1"/>
  </sortState>
  <mergeCells count="1">
    <mergeCell ref="F1:G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>
      <selection activeCell="H6" sqref="H6"/>
    </sheetView>
  </sheetViews>
  <sheetFormatPr defaultColWidth="9.109375" defaultRowHeight="14.4" x14ac:dyDescent="0.3"/>
  <cols>
    <col min="1" max="1" width="37.109375" style="149" customWidth="1"/>
    <col min="2" max="2" width="8" style="149" bestFit="1" customWidth="1"/>
    <col min="3" max="3" width="37.109375" style="149" customWidth="1"/>
    <col min="4" max="16384" width="9.109375" style="149"/>
  </cols>
  <sheetData>
    <row r="1" spans="1:3" ht="153.15" customHeight="1" x14ac:dyDescent="0.3">
      <c r="A1" s="307" t="s">
        <v>169</v>
      </c>
      <c r="B1" s="307"/>
      <c r="C1" s="307"/>
    </row>
    <row r="2" spans="1:3" ht="40.799999999999997" customHeight="1" x14ac:dyDescent="0.3"/>
    <row r="3" spans="1:3" ht="91.8" x14ac:dyDescent="0.3">
      <c r="A3" s="306" t="s">
        <v>121</v>
      </c>
      <c r="B3" s="306"/>
      <c r="C3" s="306"/>
    </row>
    <row r="4" spans="1:3" ht="46.2" x14ac:dyDescent="0.3">
      <c r="A4" s="309" t="s">
        <v>170</v>
      </c>
      <c r="B4" s="309"/>
      <c r="C4" s="309"/>
    </row>
    <row r="5" spans="1:3" ht="46.2" x14ac:dyDescent="0.3">
      <c r="A5" s="309" t="s">
        <v>209</v>
      </c>
      <c r="B5" s="309"/>
      <c r="C5" s="309"/>
    </row>
    <row r="6" spans="1:3" ht="36.75" customHeight="1" x14ac:dyDescent="0.3"/>
    <row r="7" spans="1:3" ht="91.8" x14ac:dyDescent="0.3">
      <c r="A7" s="306" t="s">
        <v>122</v>
      </c>
      <c r="B7" s="306"/>
      <c r="C7" s="306"/>
    </row>
    <row r="8" spans="1:3" ht="46.2" x14ac:dyDescent="0.3">
      <c r="A8" s="309" t="s">
        <v>210</v>
      </c>
      <c r="B8" s="309"/>
      <c r="C8" s="309"/>
    </row>
    <row r="11" spans="1:3" ht="31.05" customHeight="1" x14ac:dyDescent="0.3">
      <c r="A11" s="308" t="s">
        <v>211</v>
      </c>
      <c r="B11" s="308"/>
      <c r="C11" s="308"/>
    </row>
    <row r="12" spans="1:3" ht="31.05" customHeight="1" x14ac:dyDescent="0.3">
      <c r="A12" s="308"/>
      <c r="B12" s="308"/>
      <c r="C12" s="308"/>
    </row>
  </sheetData>
  <mergeCells count="7">
    <mergeCell ref="A3:C3"/>
    <mergeCell ref="A7:C7"/>
    <mergeCell ref="A1:C1"/>
    <mergeCell ref="A11:C12"/>
    <mergeCell ref="A5:C5"/>
    <mergeCell ref="A4:C4"/>
    <mergeCell ref="A8:C8"/>
  </mergeCells>
  <printOptions horizontalCentered="1" verticalCentered="1"/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9"/>
  <sheetViews>
    <sheetView workbookViewId="0">
      <selection activeCell="D2" sqref="D2:E2"/>
    </sheetView>
  </sheetViews>
  <sheetFormatPr defaultColWidth="8.88671875" defaultRowHeight="28.8" x14ac:dyDescent="0.55000000000000004"/>
  <cols>
    <col min="1" max="1" width="18.109375" style="107" bestFit="1" customWidth="1"/>
    <col min="2" max="2" width="37.109375" style="107" customWidth="1"/>
    <col min="3" max="3" width="9.109375" style="107"/>
    <col min="4" max="4" width="18.6640625" style="107" bestFit="1" customWidth="1"/>
    <col min="5" max="5" width="37.109375" style="107" customWidth="1"/>
  </cols>
  <sheetData>
    <row r="1" spans="1:5" ht="91.8" x14ac:dyDescent="1.65">
      <c r="A1" s="311" t="s">
        <v>130</v>
      </c>
      <c r="B1" s="311"/>
      <c r="C1" s="311"/>
      <c r="D1" s="311"/>
      <c r="E1" s="311"/>
    </row>
    <row r="2" spans="1:5" ht="81.75" customHeight="1" x14ac:dyDescent="1.1000000000000001">
      <c r="A2" s="310" t="s">
        <v>121</v>
      </c>
      <c r="B2" s="310"/>
      <c r="D2" s="310" t="s">
        <v>122</v>
      </c>
      <c r="E2" s="310"/>
    </row>
    <row r="3" spans="1:5" ht="41.4" customHeight="1" x14ac:dyDescent="0.55000000000000004">
      <c r="A3" s="108">
        <v>0.58333333333333337</v>
      </c>
      <c r="B3" s="109"/>
      <c r="C3" s="164"/>
      <c r="D3" s="165">
        <v>0.374999999999999</v>
      </c>
      <c r="E3" s="109"/>
    </row>
    <row r="4" spans="1:5" ht="41.4" customHeight="1" x14ac:dyDescent="0.55000000000000004">
      <c r="A4" s="108">
        <v>0.625</v>
      </c>
      <c r="B4" s="110"/>
      <c r="D4" s="108">
        <v>0.41666666666666602</v>
      </c>
      <c r="E4" s="110"/>
    </row>
    <row r="5" spans="1:5" ht="41.4" customHeight="1" x14ac:dyDescent="0.55000000000000004">
      <c r="A5" s="108">
        <v>0.66666666666666696</v>
      </c>
      <c r="B5" s="110"/>
      <c r="D5" s="108">
        <v>0.45833333333333298</v>
      </c>
      <c r="E5" s="110"/>
    </row>
    <row r="6" spans="1:5" ht="41.4" customHeight="1" x14ac:dyDescent="0.55000000000000004">
      <c r="A6" s="108">
        <v>0.75</v>
      </c>
      <c r="B6" s="110"/>
      <c r="D6" s="108">
        <v>0.54166666666666696</v>
      </c>
      <c r="E6" s="110"/>
    </row>
    <row r="7" spans="1:5" ht="41.4" customHeight="1" x14ac:dyDescent="0.55000000000000004">
      <c r="A7" s="108">
        <v>0.79166666666666596</v>
      </c>
      <c r="B7" s="110"/>
      <c r="D7" s="108">
        <v>0.58333333333333337</v>
      </c>
      <c r="E7" s="110"/>
    </row>
    <row r="8" spans="1:5" ht="41.4" customHeight="1" x14ac:dyDescent="0.55000000000000004">
      <c r="A8" s="108">
        <v>0.83333333333333304</v>
      </c>
      <c r="B8" s="110"/>
      <c r="D8"/>
      <c r="E8"/>
    </row>
    <row r="9" spans="1:5" ht="41.4" customHeight="1" x14ac:dyDescent="0.55000000000000004">
      <c r="A9" s="108">
        <v>0.874999999999999</v>
      </c>
      <c r="B9" s="110"/>
      <c r="D9"/>
      <c r="E9"/>
    </row>
  </sheetData>
  <mergeCells count="3">
    <mergeCell ref="A2:B2"/>
    <mergeCell ref="D2:E2"/>
    <mergeCell ref="A1:E1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2"/>
  <sheetViews>
    <sheetView workbookViewId="0">
      <selection activeCell="B6" sqref="B6"/>
    </sheetView>
  </sheetViews>
  <sheetFormatPr defaultColWidth="8" defaultRowHeight="18" x14ac:dyDescent="0.3"/>
  <cols>
    <col min="1" max="1" width="13.88671875" style="151" bestFit="1" customWidth="1"/>
    <col min="2" max="2" width="22.6640625" style="151" bestFit="1" customWidth="1"/>
    <col min="3" max="4" width="10" style="163" customWidth="1"/>
    <col min="5" max="5" width="53.109375" style="151" customWidth="1"/>
    <col min="6" max="16384" width="8" style="151"/>
  </cols>
  <sheetData>
    <row r="1" spans="1:5" ht="31.2" x14ac:dyDescent="0.3">
      <c r="A1" s="312" t="s">
        <v>177</v>
      </c>
      <c r="B1" s="312"/>
      <c r="C1" s="312"/>
      <c r="D1" s="312"/>
      <c r="E1" s="312"/>
    </row>
    <row r="2" spans="1:5" ht="36" x14ac:dyDescent="0.3">
      <c r="A2" s="152" t="s">
        <v>124</v>
      </c>
      <c r="B2" s="152" t="s">
        <v>0</v>
      </c>
      <c r="C2" s="153" t="s">
        <v>128</v>
      </c>
      <c r="D2" s="153" t="s">
        <v>127</v>
      </c>
      <c r="E2" s="152" t="s">
        <v>129</v>
      </c>
    </row>
    <row r="3" spans="1:5" ht="23.4" customHeight="1" x14ac:dyDescent="0.3">
      <c r="A3" s="154" t="s">
        <v>125</v>
      </c>
      <c r="B3" s="155" t="s">
        <v>7</v>
      </c>
      <c r="C3" s="156">
        <v>3</v>
      </c>
      <c r="D3" s="156"/>
      <c r="E3" s="157"/>
    </row>
    <row r="4" spans="1:5" ht="23.4" customHeight="1" x14ac:dyDescent="0.3">
      <c r="A4" s="111" t="s">
        <v>131</v>
      </c>
      <c r="B4" s="158" t="s">
        <v>92</v>
      </c>
      <c r="C4" s="150">
        <v>6</v>
      </c>
      <c r="D4" s="150"/>
      <c r="E4" s="159"/>
    </row>
    <row r="5" spans="1:5" ht="23.4" customHeight="1" x14ac:dyDescent="0.3">
      <c r="A5" s="111" t="s">
        <v>103</v>
      </c>
      <c r="B5" s="158" t="s">
        <v>88</v>
      </c>
      <c r="C5" s="150">
        <v>6</v>
      </c>
      <c r="D5" s="150"/>
      <c r="E5" s="159"/>
    </row>
    <row r="6" spans="1:5" ht="23.4" customHeight="1" x14ac:dyDescent="0.3">
      <c r="A6" s="111" t="s">
        <v>103</v>
      </c>
      <c r="B6" s="158" t="s">
        <v>89</v>
      </c>
      <c r="C6" s="150">
        <v>8</v>
      </c>
      <c r="D6" s="150"/>
      <c r="E6" s="159"/>
    </row>
    <row r="7" spans="1:5" ht="23.4" customHeight="1" x14ac:dyDescent="0.3">
      <c r="A7" s="111" t="s">
        <v>103</v>
      </c>
      <c r="B7" s="158" t="s">
        <v>91</v>
      </c>
      <c r="C7" s="150">
        <v>12</v>
      </c>
      <c r="D7" s="150"/>
      <c r="E7" s="159"/>
    </row>
    <row r="8" spans="1:5" ht="23.4" customHeight="1" x14ac:dyDescent="0.3">
      <c r="A8" s="111" t="s">
        <v>103</v>
      </c>
      <c r="B8" s="158" t="s">
        <v>90</v>
      </c>
      <c r="C8" s="150">
        <v>4</v>
      </c>
      <c r="D8" s="150"/>
      <c r="E8" s="159"/>
    </row>
    <row r="9" spans="1:5" ht="23.4" customHeight="1" x14ac:dyDescent="0.3">
      <c r="A9" s="111">
        <v>27</v>
      </c>
      <c r="B9" s="158" t="s">
        <v>20</v>
      </c>
      <c r="C9" s="150">
        <v>36</v>
      </c>
      <c r="D9" s="150"/>
      <c r="E9" s="159"/>
    </row>
    <row r="10" spans="1:5" ht="23.4" customHeight="1" x14ac:dyDescent="0.3">
      <c r="A10" s="111">
        <v>20</v>
      </c>
      <c r="B10" s="158" t="s">
        <v>21</v>
      </c>
      <c r="C10" s="150">
        <v>12</v>
      </c>
      <c r="D10" s="150"/>
      <c r="E10" s="159"/>
    </row>
    <row r="11" spans="1:5" ht="23.4" customHeight="1" x14ac:dyDescent="0.3">
      <c r="A11" s="111">
        <v>1</v>
      </c>
      <c r="B11" s="158" t="s">
        <v>132</v>
      </c>
      <c r="C11" s="150">
        <v>11</v>
      </c>
      <c r="D11" s="150"/>
      <c r="E11" s="159"/>
    </row>
    <row r="12" spans="1:5" ht="23.4" customHeight="1" x14ac:dyDescent="0.3">
      <c r="A12" s="111">
        <v>2</v>
      </c>
      <c r="B12" s="158" t="s">
        <v>133</v>
      </c>
      <c r="C12" s="150">
        <v>11</v>
      </c>
      <c r="D12" s="150"/>
      <c r="E12" s="159"/>
    </row>
    <row r="13" spans="1:5" ht="23.4" customHeight="1" x14ac:dyDescent="0.3">
      <c r="A13" s="111">
        <v>3</v>
      </c>
      <c r="B13" s="158" t="s">
        <v>134</v>
      </c>
      <c r="C13" s="150">
        <v>11</v>
      </c>
      <c r="D13" s="150"/>
      <c r="E13" s="159"/>
    </row>
    <row r="14" spans="1:5" ht="23.4" customHeight="1" x14ac:dyDescent="0.3">
      <c r="A14" s="111">
        <v>4</v>
      </c>
      <c r="B14" s="158" t="s">
        <v>135</v>
      </c>
      <c r="C14" s="150">
        <v>11</v>
      </c>
      <c r="D14" s="150"/>
      <c r="E14" s="159"/>
    </row>
    <row r="15" spans="1:5" ht="23.4" customHeight="1" x14ac:dyDescent="0.3">
      <c r="A15" s="111">
        <v>5</v>
      </c>
      <c r="B15" s="158" t="s">
        <v>19</v>
      </c>
      <c r="C15" s="150">
        <v>11</v>
      </c>
      <c r="D15" s="150"/>
      <c r="E15" s="159"/>
    </row>
    <row r="16" spans="1:5" ht="23.4" customHeight="1" x14ac:dyDescent="0.3">
      <c r="A16" s="111">
        <v>6</v>
      </c>
      <c r="B16" s="158" t="s">
        <v>136</v>
      </c>
      <c r="C16" s="150">
        <v>11</v>
      </c>
      <c r="D16" s="150"/>
      <c r="E16" s="159"/>
    </row>
    <row r="17" spans="1:5" ht="23.4" customHeight="1" x14ac:dyDescent="0.3">
      <c r="A17" s="111">
        <v>7</v>
      </c>
      <c r="B17" s="158" t="s">
        <v>18</v>
      </c>
      <c r="C17" s="150">
        <v>11</v>
      </c>
      <c r="D17" s="150"/>
      <c r="E17" s="159"/>
    </row>
    <row r="18" spans="1:5" ht="23.4" customHeight="1" x14ac:dyDescent="0.3">
      <c r="A18" s="111">
        <v>8</v>
      </c>
      <c r="B18" s="158" t="s">
        <v>17</v>
      </c>
      <c r="C18" s="150">
        <v>11</v>
      </c>
      <c r="D18" s="150"/>
      <c r="E18" s="159"/>
    </row>
    <row r="19" spans="1:5" ht="23.4" customHeight="1" x14ac:dyDescent="0.3">
      <c r="A19" s="111">
        <v>9</v>
      </c>
      <c r="B19" s="158" t="s">
        <v>16</v>
      </c>
      <c r="C19" s="150">
        <v>11</v>
      </c>
      <c r="D19" s="150"/>
      <c r="E19" s="159"/>
    </row>
    <row r="20" spans="1:5" ht="23.4" customHeight="1" x14ac:dyDescent="0.3">
      <c r="A20" s="111">
        <v>10</v>
      </c>
      <c r="B20" s="158" t="s">
        <v>15</v>
      </c>
      <c r="C20" s="150">
        <v>11</v>
      </c>
      <c r="D20" s="150"/>
      <c r="E20" s="159"/>
    </row>
    <row r="21" spans="1:5" ht="23.4" customHeight="1" x14ac:dyDescent="0.3">
      <c r="A21" s="111">
        <v>11</v>
      </c>
      <c r="B21" s="158" t="s">
        <v>14</v>
      </c>
      <c r="C21" s="150">
        <v>11</v>
      </c>
      <c r="D21" s="150"/>
      <c r="E21" s="159"/>
    </row>
    <row r="22" spans="1:5" ht="23.4" customHeight="1" x14ac:dyDescent="0.3">
      <c r="A22" s="111">
        <v>12</v>
      </c>
      <c r="B22" s="158" t="s">
        <v>13</v>
      </c>
      <c r="C22" s="150">
        <v>9</v>
      </c>
      <c r="D22" s="150"/>
      <c r="E22" s="159"/>
    </row>
    <row r="23" spans="1:5" ht="23.4" customHeight="1" x14ac:dyDescent="0.3">
      <c r="A23" s="111">
        <v>13</v>
      </c>
      <c r="B23" s="158" t="s">
        <v>137</v>
      </c>
      <c r="C23" s="150">
        <v>8</v>
      </c>
      <c r="D23" s="150"/>
      <c r="E23" s="159"/>
    </row>
    <row r="24" spans="1:5" ht="23.4" customHeight="1" x14ac:dyDescent="0.3">
      <c r="A24" s="111">
        <v>14</v>
      </c>
      <c r="B24" s="158" t="s">
        <v>53</v>
      </c>
      <c r="C24" s="150">
        <v>8</v>
      </c>
      <c r="D24" s="150"/>
      <c r="E24" s="159"/>
    </row>
    <row r="25" spans="1:5" ht="23.4" customHeight="1" x14ac:dyDescent="0.3">
      <c r="A25" s="111">
        <v>15</v>
      </c>
      <c r="B25" s="158" t="s">
        <v>54</v>
      </c>
      <c r="C25" s="150">
        <v>8</v>
      </c>
      <c r="D25" s="150"/>
      <c r="E25" s="159"/>
    </row>
    <row r="26" spans="1:5" ht="23.4" customHeight="1" x14ac:dyDescent="0.3">
      <c r="A26" s="111">
        <v>16</v>
      </c>
      <c r="B26" s="158" t="s">
        <v>12</v>
      </c>
      <c r="C26" s="150">
        <v>8</v>
      </c>
      <c r="D26" s="150"/>
      <c r="E26" s="159"/>
    </row>
    <row r="27" spans="1:5" ht="23.4" customHeight="1" x14ac:dyDescent="0.3">
      <c r="A27" s="111">
        <v>17</v>
      </c>
      <c r="B27" s="158" t="s">
        <v>138</v>
      </c>
      <c r="C27" s="150">
        <v>3</v>
      </c>
      <c r="D27" s="150"/>
      <c r="E27" s="159"/>
    </row>
    <row r="28" spans="1:5" ht="23.4" customHeight="1" x14ac:dyDescent="0.3">
      <c r="A28" s="111">
        <v>18</v>
      </c>
      <c r="B28" s="158" t="s">
        <v>11</v>
      </c>
      <c r="C28" s="150">
        <v>4</v>
      </c>
      <c r="D28" s="150"/>
      <c r="E28" s="159"/>
    </row>
    <row r="29" spans="1:5" ht="23.4" customHeight="1" x14ac:dyDescent="0.3">
      <c r="A29" s="111">
        <v>21</v>
      </c>
      <c r="B29" s="158" t="s">
        <v>139</v>
      </c>
      <c r="C29" s="150">
        <v>4</v>
      </c>
      <c r="D29" s="150"/>
      <c r="E29" s="159"/>
    </row>
    <row r="30" spans="1:5" ht="23.4" customHeight="1" x14ac:dyDescent="0.3">
      <c r="A30" s="111">
        <v>24</v>
      </c>
      <c r="B30" s="158" t="s">
        <v>140</v>
      </c>
      <c r="C30" s="150">
        <v>4</v>
      </c>
      <c r="D30" s="150"/>
      <c r="E30" s="159"/>
    </row>
    <row r="31" spans="1:5" ht="23.4" customHeight="1" x14ac:dyDescent="0.3">
      <c r="A31" s="111">
        <v>25</v>
      </c>
      <c r="B31" s="158" t="s">
        <v>10</v>
      </c>
      <c r="C31" s="150">
        <v>6</v>
      </c>
      <c r="D31" s="150"/>
      <c r="E31" s="159"/>
    </row>
    <row r="32" spans="1:5" ht="23.4" customHeight="1" x14ac:dyDescent="0.3">
      <c r="A32" s="112">
        <v>26</v>
      </c>
      <c r="B32" s="160" t="s">
        <v>9</v>
      </c>
      <c r="C32" s="161">
        <v>6</v>
      </c>
      <c r="D32" s="161"/>
      <c r="E32" s="162"/>
    </row>
  </sheetData>
  <mergeCells count="1">
    <mergeCell ref="A1:E1"/>
  </mergeCells>
  <printOptions horizontalCentered="1" verticalCentered="1"/>
  <pageMargins left="0.45" right="0.45" top="0.5" bottom="0.5" header="0.3" footer="0.3"/>
  <pageSetup scale="8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Audit Findings</vt:lpstr>
      <vt:lpstr>2021 Registation</vt:lpstr>
      <vt:lpstr>Who (Discount Reason)</vt:lpstr>
      <vt:lpstr>Location to Miles</vt:lpstr>
      <vt:lpstr>Full Report</vt:lpstr>
      <vt:lpstr>Quick Report</vt:lpstr>
      <vt:lpstr>Registration Hours</vt:lpstr>
      <vt:lpstr>Registration Sign Up </vt:lpstr>
      <vt:lpstr>Cabin Check In Sheet</vt:lpstr>
      <vt:lpstr>'Full Report'!Print_Area</vt:lpstr>
      <vt:lpstr>'Registration Sign Up '!Print_Area</vt:lpstr>
      <vt:lpstr>'Full Report'!Print_Titles</vt:lpstr>
      <vt:lpstr>Reasons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Roberta Evanson</cp:lastModifiedBy>
  <cp:lastPrinted>2021-09-22T23:50:41Z</cp:lastPrinted>
  <dcterms:created xsi:type="dcterms:W3CDTF">2012-08-21T00:16:37Z</dcterms:created>
  <dcterms:modified xsi:type="dcterms:W3CDTF">2021-09-26T03:54:11Z</dcterms:modified>
</cp:coreProperties>
</file>